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Peter\Dropbox\ASM Uploads\WIP\Real Estate\HFF\"/>
    </mc:Choice>
  </mc:AlternateContent>
  <bookViews>
    <workbookView xWindow="0" yWindow="0" windowWidth="21570" windowHeight="9450"/>
  </bookViews>
  <sheets>
    <sheet name="Description" sheetId="5" r:id="rId1"/>
    <sheet name="Projection" sheetId="3" r:id="rId2"/>
    <sheet name="Trailing-12 &amp; Pro Forma" sheetId="1" r:id="rId3"/>
    <sheet name="Rent Roll Summary" sheetId="8" r:id="rId4"/>
    <sheet name="Rent Roll Analysis" sheetId="6" r:id="rId5"/>
    <sheet name="Amort. Schedule" sheetId="7" r:id="rId6"/>
  </sheets>
  <externalReferences>
    <externalReference r:id="rId7"/>
    <externalReference r:id="rId8"/>
  </externalReferences>
  <definedNames>
    <definedName name="__123Graph_A" hidden="1">'[1]Total Base'!#REF!</definedName>
    <definedName name="__IntlFixup" hidden="1">TRUE</definedName>
    <definedName name="_Fill" localSheetId="2" hidden="1">#REF!</definedName>
    <definedName name="_Fill" hidden="1">#REF!</definedName>
    <definedName name="_xlnm._FilterDatabase" localSheetId="4" hidden="1">'Rent Roll Analysis'!$C$9:$O$197</definedName>
    <definedName name="_Key1" localSheetId="2" hidden="1">#REF!</definedName>
    <definedName name="_Key1" hidden="1">#REF!</definedName>
    <definedName name="_Key2" localSheetId="2" hidden="1">#REF!</definedName>
    <definedName name="_Key2" hidden="1">#REF!</definedName>
    <definedName name="_Order1" hidden="1">255</definedName>
    <definedName name="_Order2" hidden="1">255</definedName>
    <definedName name="_Sort" localSheetId="2" hidden="1">#REF!</definedName>
    <definedName name="_Sort" hidden="1">#REF!</definedName>
    <definedName name="_Table1_Out" hidden="1">[2]Acquisition!#REF!</definedName>
    <definedName name="Access_Button" hidden="1">"Loan_Front_End_Input_List"</definedName>
    <definedName name="AccessDatabase" hidden="1">"C:\My Documents\DAVE\MODELS\Cash at Risk\Loan Front End.mdb"</definedName>
    <definedName name="anscount" hidden="1">2</definedName>
    <definedName name="ashish" localSheetId="5" hidden="1">{"'Assump'!$F$6:$J$6"}</definedName>
    <definedName name="ashish" localSheetId="1" hidden="1">{"'Assump'!$F$6:$J$6"}</definedName>
    <definedName name="ashish" localSheetId="4" hidden="1">{"'Assump'!$F$6:$J$6"}</definedName>
    <definedName name="ashish" hidden="1">{"'Assump'!$F$6:$J$6"}</definedName>
    <definedName name="dddddd" localSheetId="5" hidden="1">{#N/A,#N/A,FALSE,"CAPREIT"}</definedName>
    <definedName name="dddddd" localSheetId="1" hidden="1">{#N/A,#N/A,FALSE,"CAPREIT"}</definedName>
    <definedName name="dddddd" localSheetId="4" hidden="1">{#N/A,#N/A,FALSE,"CAPREIT"}</definedName>
    <definedName name="dddddd" hidden="1">{#N/A,#N/A,FALSE,"CAPREIT"}</definedName>
    <definedName name="dddddd2" localSheetId="5" hidden="1">{#N/A,#N/A,FALSE,"CAPREIT"}</definedName>
    <definedName name="dddddd2" localSheetId="1" hidden="1">{#N/A,#N/A,FALSE,"CAPREIT"}</definedName>
    <definedName name="dddddd2" localSheetId="4" hidden="1">{#N/A,#N/A,FALSE,"CAPREIT"}</definedName>
    <definedName name="dddddd2" hidden="1">{#N/A,#N/A,FALSE,"CAPREIT"}</definedName>
    <definedName name="ddddddd" localSheetId="5" hidden="1">{#N/A,#N/A,FALSE,"CAPREIT"}</definedName>
    <definedName name="ddddddd" localSheetId="1" hidden="1">{#N/A,#N/A,FALSE,"CAPREIT"}</definedName>
    <definedName name="ddddddd" localSheetId="4" hidden="1">{#N/A,#N/A,FALSE,"CAPREIT"}</definedName>
    <definedName name="ddddddd" hidden="1">{#N/A,#N/A,FALSE,"CAPREIT"}</definedName>
    <definedName name="ddddddd2" localSheetId="5" hidden="1">{#N/A,#N/A,FALSE,"CAPREIT"}</definedName>
    <definedName name="ddddddd2" localSheetId="1" hidden="1">{#N/A,#N/A,FALSE,"CAPREIT"}</definedName>
    <definedName name="ddddddd2" localSheetId="4" hidden="1">{#N/A,#N/A,FALSE,"CAPREIT"}</definedName>
    <definedName name="ddddddd2" hidden="1">{#N/A,#N/A,FALSE,"CAPREIT"}</definedName>
    <definedName name="eeee" localSheetId="5" hidden="1">{#N/A,#N/A,FALSE,"Consol CF";#N/A,#N/A,FALSE,"matx B4 DS";#N/A,#N/A,FALSE,"Hacienda CF";#N/A,#N/A,FALSE,"matx B4 DS Hac";#N/A,#N/A,FALSE,"Chabot CF";#N/A,#N/A,FALSE,"matx B4 DS Chabot";#N/A,#N/A,FALSE,"Diablo CF";#N/A,#N/A,FALSE,"matx B4 DS Diablo";#N/A,#N/A,FALSE,"HAC2-CF";#N/A,#N/A,FALSE,"HAC3-CF";#N/A,#N/A,FALSE,"HAC4-CF";#N/A,#N/A,FALSE,"HAC5-CF";#N/A,#N/A,FALSE,"HAC6-CF";#N/A,#N/A,FALSE,"HAC7-CF";#N/A,#N/A,FALSE,"HAC8-CF";#N/A,#N/A,FALSE,"HAC9-CF";#N/A,#N/A,FALSE,"HA10-CF"}</definedName>
    <definedName name="eeee" localSheetId="1" hidden="1">{#N/A,#N/A,FALSE,"Consol CF";#N/A,#N/A,FALSE,"matx B4 DS";#N/A,#N/A,FALSE,"Hacienda CF";#N/A,#N/A,FALSE,"matx B4 DS Hac";#N/A,#N/A,FALSE,"Chabot CF";#N/A,#N/A,FALSE,"matx B4 DS Chabot";#N/A,#N/A,FALSE,"Diablo CF";#N/A,#N/A,FALSE,"matx B4 DS Diablo";#N/A,#N/A,FALSE,"HAC2-CF";#N/A,#N/A,FALSE,"HAC3-CF";#N/A,#N/A,FALSE,"HAC4-CF";#N/A,#N/A,FALSE,"HAC5-CF";#N/A,#N/A,FALSE,"HAC6-CF";#N/A,#N/A,FALSE,"HAC7-CF";#N/A,#N/A,FALSE,"HAC8-CF";#N/A,#N/A,FALSE,"HAC9-CF";#N/A,#N/A,FALSE,"HA10-CF"}</definedName>
    <definedName name="eeee" localSheetId="4" hidden="1">{#N/A,#N/A,FALSE,"Consol CF";#N/A,#N/A,FALSE,"matx B4 DS";#N/A,#N/A,FALSE,"Hacienda CF";#N/A,#N/A,FALSE,"matx B4 DS Hac";#N/A,#N/A,FALSE,"Chabot CF";#N/A,#N/A,FALSE,"matx B4 DS Chabot";#N/A,#N/A,FALSE,"Diablo CF";#N/A,#N/A,FALSE,"matx B4 DS Diablo";#N/A,#N/A,FALSE,"HAC2-CF";#N/A,#N/A,FALSE,"HAC3-CF";#N/A,#N/A,FALSE,"HAC4-CF";#N/A,#N/A,FALSE,"HAC5-CF";#N/A,#N/A,FALSE,"HAC6-CF";#N/A,#N/A,FALSE,"HAC7-CF";#N/A,#N/A,FALSE,"HAC8-CF";#N/A,#N/A,FALSE,"HAC9-CF";#N/A,#N/A,FALSE,"HA10-CF"}</definedName>
    <definedName name="eeee" hidden="1">{#N/A,#N/A,FALSE,"Consol CF";#N/A,#N/A,FALSE,"matx B4 DS";#N/A,#N/A,FALSE,"Hacienda CF";#N/A,#N/A,FALSE,"matx B4 DS Hac";#N/A,#N/A,FALSE,"Chabot CF";#N/A,#N/A,FALSE,"matx B4 DS Chabot";#N/A,#N/A,FALSE,"Diablo CF";#N/A,#N/A,FALSE,"matx B4 DS Diablo";#N/A,#N/A,FALSE,"HAC2-CF";#N/A,#N/A,FALSE,"HAC3-CF";#N/A,#N/A,FALSE,"HAC4-CF";#N/A,#N/A,FALSE,"HAC5-CF";#N/A,#N/A,FALSE,"HAC6-CF";#N/A,#N/A,FALSE,"HAC7-CF";#N/A,#N/A,FALSE,"HAC8-CF";#N/A,#N/A,FALSE,"HAC9-CF";#N/A,#N/A,FALSE,"HA10-CF"}</definedName>
    <definedName name="Estimate" localSheetId="5" hidden="1">{#N/A,#N/A,FALSE,"Detail";#N/A,#N/A,FALSE,"Totals"}</definedName>
    <definedName name="Estimate" localSheetId="1" hidden="1">{#N/A,#N/A,FALSE,"Detail";#N/A,#N/A,FALSE,"Totals"}</definedName>
    <definedName name="Estimate" localSheetId="4" hidden="1">{#N/A,#N/A,FALSE,"Detail";#N/A,#N/A,FALSE,"Totals"}</definedName>
    <definedName name="Estimate" localSheetId="2" hidden="1">{#N/A,#N/A,FALSE,"Detail";#N/A,#N/A,FALSE,"Totals"}</definedName>
    <definedName name="Estimate" hidden="1">{#N/A,#N/A,FALSE,"Detail";#N/A,#N/A,FALSE,"Totals"}</definedName>
    <definedName name="fdfdfd" localSheetId="5" hidden="1">{#N/A,#N/A,FALSE,"CAPREIT"}</definedName>
    <definedName name="fdfdfd" localSheetId="1" hidden="1">{#N/A,#N/A,FALSE,"CAPREIT"}</definedName>
    <definedName name="fdfdfd" localSheetId="4" hidden="1">{#N/A,#N/A,FALSE,"CAPREIT"}</definedName>
    <definedName name="fdfdfd" hidden="1">{#N/A,#N/A,FALSE,"CAPREIT"}</definedName>
    <definedName name="fdfdfdf" localSheetId="5" hidden="1">{#N/A,#N/A,FALSE,"CAPREIT"}</definedName>
    <definedName name="fdfdfdf" localSheetId="1" hidden="1">{#N/A,#N/A,FALSE,"CAPREIT"}</definedName>
    <definedName name="fdfdfdf" localSheetId="4" hidden="1">{#N/A,#N/A,FALSE,"CAPREIT"}</definedName>
    <definedName name="fdfdfdf" hidden="1">{#N/A,#N/A,FALSE,"CAPREIT"}</definedName>
    <definedName name="html" localSheetId="5" hidden="1">{"'Assump'!$F$6:$J$6"}</definedName>
    <definedName name="html" localSheetId="1" hidden="1">{"'Assump'!$F$6:$J$6"}</definedName>
    <definedName name="html" localSheetId="4" hidden="1">{"'Assump'!$F$6:$J$6"}</definedName>
    <definedName name="html" hidden="1">{"'Assump'!$F$6:$J$6"}</definedName>
    <definedName name="HTML_CodePage" hidden="1">1252</definedName>
    <definedName name="HTML_Control" localSheetId="5" hidden="1">{"'Assump'!$F$6:$J$6"}</definedName>
    <definedName name="HTML_Control" localSheetId="1" hidden="1">{"'Assump'!$F$6:$J$6"}</definedName>
    <definedName name="HTML_Control" localSheetId="4" hidden="1">{"'Assump'!$F$6:$J$6"}</definedName>
    <definedName name="HTML_Control" hidden="1">{"'Assump'!$F$6:$J$6"}</definedName>
    <definedName name="HTML_Description" hidden="1">""</definedName>
    <definedName name="HTML_Email" hidden="1">""</definedName>
    <definedName name="HTML_Header" hidden="1">"Assump"</definedName>
    <definedName name="HTML_LastUpdate" hidden="1">"7/24/98"</definedName>
    <definedName name="HTML_LineAfter" hidden="1">FALSE</definedName>
    <definedName name="HTML_LineBefore" hidden="1">FALSE</definedName>
    <definedName name="HTML_Name" hidden="1">"Russell Caplin"</definedName>
    <definedName name="HTML_OBDlg2" hidden="1">TRUE</definedName>
    <definedName name="HTML_OBDlg4" hidden="1">TRUE</definedName>
    <definedName name="HTML_OS" hidden="1">0</definedName>
    <definedName name="HTML_PathFile" hidden="1">"C:\acg\MyHTML.htm"</definedName>
    <definedName name="HTML_Title" hidden="1">"ashish"</definedName>
    <definedName name="htmlnew" localSheetId="5" hidden="1">{"'Assump'!$F$6:$J$6"}</definedName>
    <definedName name="htmlnew" localSheetId="1" hidden="1">{"'Assump'!$F$6:$J$6"}</definedName>
    <definedName name="htmlnew" localSheetId="4" hidden="1">{"'Assump'!$F$6:$J$6"}</definedName>
    <definedName name="htmlnew" hidden="1">{"'Assump'!$F$6:$J$6"}</definedName>
    <definedName name="Inflation">Projection!#REF!</definedName>
    <definedName name="IQ_ACCOUNT_CHANGE" hidden="1">"c36"</definedName>
    <definedName name="IQ_ACCOUNTS_PAY" hidden="1">"c91"</definedName>
    <definedName name="IQ_ACCRUED_EXP" hidden="1">"c93"</definedName>
    <definedName name="IQ_ACCUM_DEP" hidden="1">"c282"</definedName>
    <definedName name="IQ_ADD_PAID_IN" hidden="1">"c109"</definedName>
    <definedName name="IQ_ALLOW_CONST" hidden="1">"c292"</definedName>
    <definedName name="IQ_AMORTIZATION" hidden="1">"c121"</definedName>
    <definedName name="IQ_ASSET_TURNS" hidden="1">"c148"</definedName>
    <definedName name="IQ_AVG_PRICE" hidden="1">"c253"</definedName>
    <definedName name="IQ_AVG_VOLUME" hidden="1">"c254"</definedName>
    <definedName name="IQ_BASIC_EPS_EXCL" hidden="1">"c45"</definedName>
    <definedName name="IQ_BASIC_EPS_INCL" hidden="1">"c46"</definedName>
    <definedName name="IQ_BASIC_NORMAL_EPS" hidden="1">"c65"</definedName>
    <definedName name="IQ_BASIC_WEIGHT" hidden="1">"c44"</definedName>
    <definedName name="IQ_BETA" hidden="1">"c226"</definedName>
    <definedName name="IQ_BOARD_MEMBER" hidden="1">"c233"</definedName>
    <definedName name="IQ_BOARD_MEMBER_TITLE" hidden="1">"c234"</definedName>
    <definedName name="IQ_BV_OVER_SHARES" hidden="1">"c177"</definedName>
    <definedName name="IQ_CAL_Q" hidden="1">"c246"</definedName>
    <definedName name="IQ_CAL_Y" hidden="1">"c248"</definedName>
    <definedName name="IQ_CAPEX" hidden="1">"c126"</definedName>
    <definedName name="IQ_CAPITAL_LEASE" hidden="1">"c99"</definedName>
    <definedName name="IQ_CASH" hidden="1">"c69"</definedName>
    <definedName name="IQ_CASH_DUE_BANKS" hidden="1">"c71"</definedName>
    <definedName name="IQ_CASH_EQUIV" hidden="1">"c70"</definedName>
    <definedName name="IQ_CASH_INTEREST" hidden="1">"c137"</definedName>
    <definedName name="IQ_CASH_ST" hidden="1">"c73"</definedName>
    <definedName name="IQ_CASH_TAXES" hidden="1">"c138"</definedName>
    <definedName name="IQ_CHANGES_WORK_CAP" hidden="1">"c124"</definedName>
    <definedName name="IQ_CITY" hidden="1">"c216"</definedName>
    <definedName name="IQ_CLOSEPRICE" hidden="1">"c206"</definedName>
    <definedName name="IQ_COMMON_STOCK" hidden="1">"c108"</definedName>
    <definedName name="IQ_COMPANY_ADDRESS" hidden="1">"c213"</definedName>
    <definedName name="IQ_COMPANY_NAME" hidden="1">"c208"</definedName>
    <definedName name="IQ_COMPANY_PHONE" hidden="1">"c219"</definedName>
    <definedName name="IQ_COMPANY_STREET1" hidden="1">"c214"</definedName>
    <definedName name="IQ_COMPANY_STREET2" hidden="1">"c215"</definedName>
    <definedName name="IQ_COMPANY_TICKER" hidden="1">"c209"</definedName>
    <definedName name="IQ_COMPANY_WEBSITE" hidden="1">"c212"</definedName>
    <definedName name="IQ_COMPANY_ZIP" hidden="1">"c218"</definedName>
    <definedName name="IQ_COST_REVENUE" hidden="1">"c6"</definedName>
    <definedName name="IQ_COUNTRY_NAME" hidden="1">"c220"</definedName>
    <definedName name="IQ_CURRENT_PORT" hidden="1">"c95"</definedName>
    <definedName name="IQ_CURRENT_RATIO" hidden="1">"c164"</definedName>
    <definedName name="IQ_DAYS_PAY_OUTST" hidden="1">"c154"</definedName>
    <definedName name="IQ_DAYS_SALES_OUTST" hidden="1">"c153"</definedName>
    <definedName name="IQ_DEF_ACQ_CST" hidden="1">"c290"</definedName>
    <definedName name="IQ_DEFERRED_INC_TAX" hidden="1">"c102"</definedName>
    <definedName name="IQ_DEFERRED_TAXES" hidden="1">"c122"</definedName>
    <definedName name="IQ_DEPRE_AMORT" hidden="1">"c10"</definedName>
    <definedName name="IQ_DEPRE_AMORT_SUPPL" hidden="1">"c54"</definedName>
    <definedName name="IQ_DEPRE_DEPLE" hidden="1">"c120"</definedName>
    <definedName name="IQ_DEPRE_SUPP" hidden="1">"c136"</definedName>
    <definedName name="IQ_DESCRIPTION_LONG" hidden="1">"c211"</definedName>
    <definedName name="IQ_DILUT_ADJUST" hidden="1">"c47"</definedName>
    <definedName name="IQ_DILUT_EPS_EXCL" hidden="1">"c49"</definedName>
    <definedName name="IQ_DILUT_EPS_INCL" hidden="1">"c50"</definedName>
    <definedName name="IQ_DILUT_NORMAL_EPS" hidden="1">"c66"</definedName>
    <definedName name="IQ_DILUT_WEIGHT" hidden="1">"c48"</definedName>
    <definedName name="IQ_DISCONT_OPER" hidden="1">"c37"</definedName>
    <definedName name="IQ_DIVID_SHARE" hidden="1">"c51"</definedName>
    <definedName name="IQ_DIVIDEND_YIELD" hidden="1">"c230"</definedName>
    <definedName name="IQ_EBIT" hidden="1">"c22"</definedName>
    <definedName name="IQ_EBIT_MARGIN" hidden="1">"c141"</definedName>
    <definedName name="IQ_EBIT_OVER_IE" hidden="1">"c184"</definedName>
    <definedName name="IQ_EBITDA" hidden="1">"c23"</definedName>
    <definedName name="IQ_EBITDA_CAPEX_OVER_TOTAL_IE" hidden="1">"c186"</definedName>
    <definedName name="IQ_EBITDA_MARGIN" hidden="1">"c140"</definedName>
    <definedName name="IQ_EBITDA_OVER_TOTAL_IE" hidden="1">"c185"</definedName>
    <definedName name="IQ_EFFECT_SPECIAL_CHARGE" hidden="1">"c61"</definedName>
    <definedName name="IQ_EMPLOYEES" hidden="1">"c221"</definedName>
    <definedName name="IQ_ENTERPRISE_VALUE" hidden="1">"c2"</definedName>
    <definedName name="IQ_EPS" hidden="1">"IQ_EPS"</definedName>
    <definedName name="IQ_EQUITY_AFFIL" hidden="1">"c33"</definedName>
    <definedName name="IQ_EQV_OVER_BV" hidden="1">"c173"</definedName>
    <definedName name="IQ_EQV_OVER_LTM_PRETAX_INC" hidden="1">"c178"</definedName>
    <definedName name="IQ_ESOP_DEBT" hidden="1">"c112"</definedName>
    <definedName name="IQ_EV_OVER_EMPLOYEE" hidden="1">"c172"</definedName>
    <definedName name="IQ_EV_OVER_LTM_EBIT" hidden="1">"c167"</definedName>
    <definedName name="IQ_EV_OVER_LTM_EBITDA" hidden="1">"c168"</definedName>
    <definedName name="IQ_EV_OVER_LTM_REVENUE" hidden="1">"c169"</definedName>
    <definedName name="IQ_EXCHANGE" hidden="1">"c210"</definedName>
    <definedName name="IQ_EXTRA_ITEMS" hidden="1">"c38"</definedName>
    <definedName name="IQ_FINANCING_CASH" hidden="1">"c129"</definedName>
    <definedName name="IQ_FISCAL_Q" hidden="1">"c245"</definedName>
    <definedName name="IQ_FISCAL_Y" hidden="1">"c247"</definedName>
    <definedName name="IQ_FIVE_PERCENT_OWNER" hidden="1">"c239"</definedName>
    <definedName name="IQ_FIVEPERCENT_PERCENT" hidden="1">"c240"</definedName>
    <definedName name="IQ_FIVEPERCENT_SHARES" hidden="1">"c251"</definedName>
    <definedName name="IQ_FOREIGN_EXCHANGE" hidden="1">"c134"</definedName>
    <definedName name="IQ_FWD" hidden="1">"LTM"</definedName>
    <definedName name="IQ_FWD_CY" hidden="1">"10001"</definedName>
    <definedName name="IQ_FWD_CY1" hidden="1">"10002"</definedName>
    <definedName name="IQ_FWD_CY2" hidden="1">"10003"</definedName>
    <definedName name="IQ_FWD_FY" hidden="1">"1001"</definedName>
    <definedName name="IQ_FWD_FY1" hidden="1">"1002"</definedName>
    <definedName name="IQ_FWD_FY2" hidden="1">"1003"</definedName>
    <definedName name="IQ_FWD_Q" hidden="1">"501"</definedName>
    <definedName name="IQ_FWD_Q1" hidden="1">"502"</definedName>
    <definedName name="IQ_FWD_Q2" hidden="1">"503"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Y_DATE" hidden="1">"IQ_FY_DATE"</definedName>
    <definedName name="IQ_GAIN_SALE_ASSETS" hidden="1">"c27"</definedName>
    <definedName name="IQ_GOODWILL_NET" hidden="1">"c85"</definedName>
    <definedName name="IQ_GROSS_DIVID" hidden="1">"c52"</definedName>
    <definedName name="IQ_GROSS_MARGIN" hidden="1">"c139"</definedName>
    <definedName name="IQ_GROSS_PROFIT" hidden="1">"c7"</definedName>
    <definedName name="IQ_HIGHPRICE" hidden="1">"c193"</definedName>
    <definedName name="IQ_INC_AFTER_TAX" hidden="1">"c31"</definedName>
    <definedName name="IQ_INC_AVAIL_EXCL" hidden="1">"c42"</definedName>
    <definedName name="IQ_INC_AVAIL_INCL" hidden="1">"c43"</definedName>
    <definedName name="IQ_INC_BEFORE_TAX" hidden="1">"c29"</definedName>
    <definedName name="IQ_INC_TAX" hidden="1">"c30"</definedName>
    <definedName name="IQ_INC_TAX_EXCL" hidden="1">"c62"</definedName>
    <definedName name="IQ_INSIDER_OWNER" hidden="1">"c237"</definedName>
    <definedName name="IQ_INSIDER_PERCENT" hidden="1">"c238"</definedName>
    <definedName name="IQ_INSIDER_SHARES" hidden="1">"c250"</definedName>
    <definedName name="IQ_INSTITUTIONAL_OWNER" hidden="1">"c235"</definedName>
    <definedName name="IQ_INSTITUTIONAL_PERCENT" hidden="1">"c236"</definedName>
    <definedName name="IQ_INSTITUTIONAL_SHARES" hidden="1">"c249"</definedName>
    <definedName name="IQ_INSUR_RECEIV" hidden="1">"c288"</definedName>
    <definedName name="IQ_INTANGIBLES_NET" hidden="1">"c86"</definedName>
    <definedName name="IQ_INTEREST_EXP_NET" hidden="1">"c17"</definedName>
    <definedName name="IQ_INTEREST_EXP_NON" hidden="1">"c24"</definedName>
    <definedName name="IQ_INTEREST_EXP_SUPPL" hidden="1">"c53"</definedName>
    <definedName name="IQ_INTEREST_INC" hidden="1">"c26"</definedName>
    <definedName name="IQ_INTEREST_INC_NON" hidden="1">"c25"</definedName>
    <definedName name="IQ_INVENTORY_TURNS" hidden="1">"c147"</definedName>
    <definedName name="IQ_ISS_DEBT_NET" hidden="1">"c132"</definedName>
    <definedName name="IQ_ISS_STOCK_NET" hidden="1">"c131"</definedName>
    <definedName name="IQ_LASTSALEPRICE" hidden="1">"c191"</definedName>
    <definedName name="IQ_LATEST" hidden="1">"1"</definedName>
    <definedName name="IQ_LATESTK" hidden="1">"1000"</definedName>
    <definedName name="IQ_LATESTKFR" hidden="1">"100"</definedName>
    <definedName name="IQ_LATESTQ" hidden="1">"500"</definedName>
    <definedName name="IQ_LATESTQFR" hidden="1">"50"</definedName>
    <definedName name="IQ_LOAN_LOSS" hidden="1">"c12"</definedName>
    <definedName name="IQ_LONG_TERM_DEBT" hidden="1">"c98"</definedName>
    <definedName name="IQ_LONG_TERM_DEBT_OVER_TOTAL_CAP" hidden="1">"c181"</definedName>
    <definedName name="IQ_LONG_TERM_INV" hidden="1">"c87"</definedName>
    <definedName name="IQ_LOWPRICE" hidden="1">"c194"</definedName>
    <definedName name="IQ_LT_NOTE_RECEIV" hidden="1">"c289"</definedName>
    <definedName name="IQ_LTM_DATE" hidden="1">"IQ_LTM_DATE"</definedName>
    <definedName name="IQ_LTM_REVENUE_OVER_EMPLOYEES" hidden="1">"c179"</definedName>
    <definedName name="IQ_MARKETCAP" hidden="1">"c200"</definedName>
    <definedName name="IQ_MINORITY_INTEREST" hidden="1">"c103"</definedName>
    <definedName name="IQ_MINORITY_INTEREST_IS" hidden="1">"c32"</definedName>
    <definedName name="IQ_MISC_EARN_ADJ" hidden="1">"c41"</definedName>
    <definedName name="IQ_NET_CHANGE" hidden="1">"c135"</definedName>
    <definedName name="IQ_NET_DEBT" hidden="1">"c118"</definedName>
    <definedName name="IQ_NET_INC" hidden="1">"c39"</definedName>
    <definedName name="IQ_NET_INC_BEFORE" hidden="1">"c35"</definedName>
    <definedName name="IQ_NET_INC_CF" hidden="1">"c119"</definedName>
    <definedName name="IQ_NET_INC_MARGIN" hidden="1">"c142"</definedName>
    <definedName name="IQ_NET_INTEREST_INC" hidden="1">"c11"</definedName>
    <definedName name="IQ_NET_INTEREST_INC_AFTER_LL" hidden="1">"c13"</definedName>
    <definedName name="IQ_NET_LOANS" hidden="1">"c75"</definedName>
    <definedName name="IQ_NON_CASH" hidden="1">"c123"</definedName>
    <definedName name="IQ_NON_INTEREST_EXP" hidden="1">"c15"</definedName>
    <definedName name="IQ_NON_INTEREST_INC" hidden="1">"c14"</definedName>
    <definedName name="IQ_NORMAL_INC_AFTER" hidden="1">"c63"</definedName>
    <definedName name="IQ_NORMAL_INC_AVAIL" hidden="1">"c64"</definedName>
    <definedName name="IQ_NORMAL_INC_BEFORE" hidden="1">"c60"</definedName>
    <definedName name="IQ_NOTES_PAY" hidden="1">"c94"</definedName>
    <definedName name="IQ_OPENPRICE" hidden="1">"c195"</definedName>
    <definedName name="IQ_OPER_INC" hidden="1">"c21"</definedName>
    <definedName name="IQ_OTHER_ASSETS" hidden="1">"c89"</definedName>
    <definedName name="IQ_OTHER_BEARING_LIAB" hidden="1">"c285"</definedName>
    <definedName name="IQ_OTHER_CURRENT_ASSETS" hidden="1">"c80"</definedName>
    <definedName name="IQ_OTHER_CURRENT_LIAB" hidden="1">"c96"</definedName>
    <definedName name="IQ_OTHER_EARNING" hidden="1">"c74"</definedName>
    <definedName name="IQ_OTHER_EQUITY" hidden="1">"c113"</definedName>
    <definedName name="IQ_OTHER_INVESTING" hidden="1">"c127"</definedName>
    <definedName name="IQ_OTHER_LIAB" hidden="1">"c104"</definedName>
    <definedName name="IQ_OTHER_LONG_TERM" hidden="1">"c88"</definedName>
    <definedName name="IQ_OTHER_NET" hidden="1">"c28"</definedName>
    <definedName name="IQ_OTHER_OPER" hidden="1">"c19"</definedName>
    <definedName name="IQ_OTHER_RECEIV" hidden="1">"c77"</definedName>
    <definedName name="IQ_OTHER_REVENUE" hidden="1">"c4"</definedName>
    <definedName name="IQ_PAY_ACCRUED" hidden="1">"c92"</definedName>
    <definedName name="IQ_PERIODDATE" hidden="1">"c1"</definedName>
    <definedName name="IQ_PERTYPE" hidden="1">"c244"</definedName>
    <definedName name="IQ_POLICY_LIAB" hidden="1">"c291"</definedName>
    <definedName name="IQ_PREF_DIVID" hidden="1">"c40"</definedName>
    <definedName name="IQ_PREF_STOCK" hidden="1">"c107"</definedName>
    <definedName name="IQ_PREF_TOT" hidden="1">"c294"</definedName>
    <definedName name="IQ_PREPAID_EXPEN" hidden="1">"c81"</definedName>
    <definedName name="IQ_PRICE_OVER_BVPS" hidden="1">"c171"</definedName>
    <definedName name="IQ_PRICE_OVER_LTM_EPS" hidden="1">"c176"</definedName>
    <definedName name="IQ_PRICEDATE" hidden="1">"c207"</definedName>
    <definedName name="IQ_PRICEDATETIME" hidden="1">"IQ_PRICEDATETIME"</definedName>
    <definedName name="IQ_PRICING_DATE" hidden="1">"c260"</definedName>
    <definedName name="IQ_PRIMARY_INDUSTRY" hidden="1">"c222"</definedName>
    <definedName name="IQ_PRO_FORMA_BASIC_EPS" hidden="1">"c57"</definedName>
    <definedName name="IQ_PRO_FORMA_DILUT_EPS" hidden="1">"c58"</definedName>
    <definedName name="IQ_PRO_FORMA_NET_INC" hidden="1">"c56"</definedName>
    <definedName name="IQ_PROFESSIONAL" hidden="1">"c231"</definedName>
    <definedName name="IQ_PROFESSIONAL_TITLE" hidden="1">"c232"</definedName>
    <definedName name="IQ_PROPERTY_GROSS" hidden="1">"c84"</definedName>
    <definedName name="IQ_PROPERTY_NET" hidden="1">"c83"</definedName>
    <definedName name="IQ_QUICK_RATIO" hidden="1">"c163"</definedName>
    <definedName name="IQ_REDEEM_PREF_STOCK" hidden="1">"c106"</definedName>
    <definedName name="IQ_RESEARCH_DEV" hidden="1">"c9"</definedName>
    <definedName name="IQ_RETAINED_EARN" hidden="1">"c110"</definedName>
    <definedName name="IQ_RETURN_ASSETS" hidden="1">"c145"</definedName>
    <definedName name="IQ_RETURN_EQUITY" hidden="1">"c146"</definedName>
    <definedName name="IQ_RETURN_INVESTMENT" hidden="1">"c144"</definedName>
    <definedName name="IQ_REVENUE" hidden="1">"c3"</definedName>
    <definedName name="IQ_SGA" hidden="1">"c8"</definedName>
    <definedName name="IQ_SHARESOUTSTANDING" hidden="1">"c201"</definedName>
    <definedName name="IQ_SHORT_TERM_INVEST" hidden="1">"c72"</definedName>
    <definedName name="IQ_SOURCE" hidden="1">"c281"</definedName>
    <definedName name="IQ_STATE" hidden="1">"c217"</definedName>
    <definedName name="IQ_STOCK_BASED" hidden="1">"c55"</definedName>
    <definedName name="IQ_TODAY" hidden="1">"0"</definedName>
    <definedName name="IQ_TOT_ADJ_INC" hidden="1">"c287"</definedName>
    <definedName name="IQ_TOTAL_ASSETS" hidden="1">"c90"</definedName>
    <definedName name="IQ_TOTAL_CASH_DIVID" hidden="1">"c130"</definedName>
    <definedName name="IQ_TOTAL_CASH_FINAN" hidden="1">"c133"</definedName>
    <definedName name="IQ_TOTAL_CASH_INVEST" hidden="1">"c128"</definedName>
    <definedName name="IQ_TOTAL_CASH_OPER" hidden="1">"c125"</definedName>
    <definedName name="IQ_TOTAL_COMMON" hidden="1">"c116"</definedName>
    <definedName name="IQ_TOTAL_CURRENT_ASSETS" hidden="1">"c82"</definedName>
    <definedName name="IQ_TOTAL_CURRENT_LIAB" hidden="1">"c97"</definedName>
    <definedName name="IQ_TOTAL_DEBT" hidden="1">"c101"</definedName>
    <definedName name="IQ_TOTAL_DEBT_OVER_EBITDA" hidden="1">"c183"</definedName>
    <definedName name="IQ_TOTAL_DEBT_OVER_TOTAL_BV" hidden="1">"c180"</definedName>
    <definedName name="IQ_TOTAL_DEBT_OVER_TOTAL_CAP" hidden="1">"c182"</definedName>
    <definedName name="IQ_TOTAL_DEPOSITS" hidden="1">"c284"</definedName>
    <definedName name="IQ_TOTAL_EQUITY" hidden="1">"c114"</definedName>
    <definedName name="IQ_TOTAL_INTEREST_EXP" hidden="1">"c67"</definedName>
    <definedName name="IQ_TOTAL_INVENTORY" hidden="1">"c79"</definedName>
    <definedName name="IQ_TOTAL_LIAB" hidden="1">"c105"</definedName>
    <definedName name="IQ_TOTAL_LIAB_SHAREHOLD" hidden="1">"c115"</definedName>
    <definedName name="IQ_TOTAL_LONG_DEBT" hidden="1">"c100"</definedName>
    <definedName name="IQ_TOTAL_OPER_EXPEN" hidden="1">"c20"</definedName>
    <definedName name="IQ_TOTAL_RECEIV" hidden="1">"c78"</definedName>
    <definedName name="IQ_TOTAL_REVENUE" hidden="1">"c5"</definedName>
    <definedName name="IQ_TOTAL_SPECIAL" hidden="1">"c59"</definedName>
    <definedName name="IQ_TOTAL_ST_BORROW" hidden="1">"c286"</definedName>
    <definedName name="IQ_TRADE_AR" hidden="1">"c76"</definedName>
    <definedName name="IQ_TREASURY_STOCK" hidden="1">"c111"</definedName>
    <definedName name="IQ_UNREALIZED_GAIN" hidden="1">"c117"</definedName>
    <definedName name="IQ_UNUSUAL_EXP" hidden="1">"c18"</definedName>
    <definedName name="IQ_US_GAAP" hidden="1">"c34"</definedName>
    <definedName name="IQ_UTIL_PPE_NET" hidden="1">"c293"</definedName>
    <definedName name="IQ_VOLUME" hidden="1">"c199"</definedName>
    <definedName name="IQ_WEIGHTED_AVG_PRICE" hidden="1">"c255"</definedName>
    <definedName name="IQ_YEARHIGH" hidden="1">"c197"</definedName>
    <definedName name="IQ_YEARLOW" hidden="1">"c198"</definedName>
    <definedName name="IQ_Z_SCORE" hidden="1">"c243"</definedName>
    <definedName name="limcount" hidden="1">1</definedName>
    <definedName name="matrix" localSheetId="5" hidden="1">{#N/A,#N/A,FALSE,"1Summary";#N/A,#N/A,FALSE,"2Assumptions";#N/A,#N/A,FALSE,"3Cash Flow";#N/A,#N/A,FALSE,"4Return of Investment Chart";#N/A,#N/A,FALSE,"5Year 1 Reconciliation";#N/A,#N/A,FALSE,"6Residual";#N/A,#N/A,FALSE,"7Pricing Matrix";#N/A,#N/A,FALSE,"8Vacancy Matrix";#N/A,#N/A,FALSE,"9Vacancy Chart";#N/A,#N/A,FALSE,"AExpiration Schedule";#N/A,#N/A,FALSE,"BExpiration Chart";#N/A,#N/A,FALSE,"CLease-up Schedule";#N/A,#N/A,FALSE,"DWeighted Average Calculation"}</definedName>
    <definedName name="matrix" localSheetId="1" hidden="1">{#N/A,#N/A,FALSE,"1Summary";#N/A,#N/A,FALSE,"2Assumptions";#N/A,#N/A,FALSE,"3Cash Flow";#N/A,#N/A,FALSE,"4Return of Investment Chart";#N/A,#N/A,FALSE,"5Year 1 Reconciliation";#N/A,#N/A,FALSE,"6Residual";#N/A,#N/A,FALSE,"7Pricing Matrix";#N/A,#N/A,FALSE,"8Vacancy Matrix";#N/A,#N/A,FALSE,"9Vacancy Chart";#N/A,#N/A,FALSE,"AExpiration Schedule";#N/A,#N/A,FALSE,"BExpiration Chart";#N/A,#N/A,FALSE,"CLease-up Schedule";#N/A,#N/A,FALSE,"DWeighted Average Calculation"}</definedName>
    <definedName name="matrix" localSheetId="4" hidden="1">{#N/A,#N/A,FALSE,"1Summary";#N/A,#N/A,FALSE,"2Assumptions";#N/A,#N/A,FALSE,"3Cash Flow";#N/A,#N/A,FALSE,"4Return of Investment Chart";#N/A,#N/A,FALSE,"5Year 1 Reconciliation";#N/A,#N/A,FALSE,"6Residual";#N/A,#N/A,FALSE,"7Pricing Matrix";#N/A,#N/A,FALSE,"8Vacancy Matrix";#N/A,#N/A,FALSE,"9Vacancy Chart";#N/A,#N/A,FALSE,"AExpiration Schedule";#N/A,#N/A,FALSE,"BExpiration Chart";#N/A,#N/A,FALSE,"CLease-up Schedule";#N/A,#N/A,FALSE,"DWeighted Average Calculation"}</definedName>
    <definedName name="matrix" hidden="1">{#N/A,#N/A,FALSE,"1Summary";#N/A,#N/A,FALSE,"2Assumptions";#N/A,#N/A,FALSE,"3Cash Flow";#N/A,#N/A,FALSE,"4Return of Investment Chart";#N/A,#N/A,FALSE,"5Year 1 Reconciliation";#N/A,#N/A,FALSE,"6Residual";#N/A,#N/A,FALSE,"7Pricing Matrix";#N/A,#N/A,FALSE,"8Vacancy Matrix";#N/A,#N/A,FALSE,"9Vacancy Chart";#N/A,#N/A,FALSE,"AExpiration Schedule";#N/A,#N/A,FALSE,"BExpiration Chart";#N/A,#N/A,FALSE,"CLease-up Schedule";#N/A,#N/A,FALSE,"DWeighted Average Calculation"}</definedName>
    <definedName name="newhtml" localSheetId="5" hidden="1">{"'Assump'!$F$6:$J$6"}</definedName>
    <definedName name="newhtml" localSheetId="1" hidden="1">{"'Assump'!$F$6:$J$6"}</definedName>
    <definedName name="newhtml" localSheetId="4" hidden="1">{"'Assump'!$F$6:$J$6"}</definedName>
    <definedName name="newhtml" hidden="1">{"'Assump'!$F$6:$J$6"}</definedName>
    <definedName name="oldhtl" localSheetId="5" hidden="1">{"'Assump'!$F$6:$J$6"}</definedName>
    <definedName name="oldhtl" localSheetId="1" hidden="1">{"'Assump'!$F$6:$J$6"}</definedName>
    <definedName name="oldhtl" localSheetId="4" hidden="1">{"'Assump'!$F$6:$J$6"}</definedName>
    <definedName name="oldhtl" hidden="1">{"'Assump'!$F$6:$J$6"}</definedName>
    <definedName name="om" localSheetId="5" hidden="1">{#N/A,#N/A,FALSE,"Matrix";#N/A,#N/A,FALSE,"Cash Flow";#N/A,#N/A,FALSE,"10 Year Cost Analysis"}</definedName>
    <definedName name="om" localSheetId="1" hidden="1">{#N/A,#N/A,FALSE,"Matrix";#N/A,#N/A,FALSE,"Cash Flow";#N/A,#N/A,FALSE,"10 Year Cost Analysis"}</definedName>
    <definedName name="om" localSheetId="4" hidden="1">{#N/A,#N/A,FALSE,"Matrix";#N/A,#N/A,FALSE,"Cash Flow";#N/A,#N/A,FALSE,"10 Year Cost Analysis"}</definedName>
    <definedName name="om" hidden="1">{#N/A,#N/A,FALSE,"Matrix";#N/A,#N/A,FALSE,"Cash Flow";#N/A,#N/A,FALSE,"10 Year Cost Analysis"}</definedName>
    <definedName name="omm" localSheetId="5" hidden="1">{#N/A,#N/A,FALSE,"matx B4 DS";#N/A,#N/A,FALSE,"matx B4 DS Hac";#N/A,#N/A,FALSE,"matx B4 DS Chabot";#N/A,#N/A,FALSE,"matx B4 DS Diablo"}</definedName>
    <definedName name="omm" localSheetId="1" hidden="1">{#N/A,#N/A,FALSE,"matx B4 DS";#N/A,#N/A,FALSE,"matx B4 DS Hac";#N/A,#N/A,FALSE,"matx B4 DS Chabot";#N/A,#N/A,FALSE,"matx B4 DS Diablo"}</definedName>
    <definedName name="omm" localSheetId="4" hidden="1">{#N/A,#N/A,FALSE,"matx B4 DS";#N/A,#N/A,FALSE,"matx B4 DS Hac";#N/A,#N/A,FALSE,"matx B4 DS Chabot";#N/A,#N/A,FALSE,"matx B4 DS Diablo"}</definedName>
    <definedName name="omm" hidden="1">{#N/A,#N/A,FALSE,"matx B4 DS";#N/A,#N/A,FALSE,"matx B4 DS Hac";#N/A,#N/A,FALSE,"matx B4 DS Chabot";#N/A,#N/A,FALSE,"matx B4 DS Diablo"}</definedName>
    <definedName name="Package" localSheetId="5" hidden="1">{#N/A,#N/A,FALSE,"Cover Page";#N/A,#N/A,FALSE,"Table of Contents";#N/A,#N/A,FALSE,"Executive Summary";#N/A,#N/A,FALSE,"Investment-Acquisition Costs";#N/A,#N/A,FALSE,"Financing Assumptions";#N/A,#N/A,FALSE,"Rent Roll";#N/A,#N/A,FALSE,"Taxes and Assessments"}</definedName>
    <definedName name="Package" localSheetId="1" hidden="1">{#N/A,#N/A,FALSE,"Cover Page";#N/A,#N/A,FALSE,"Table of Contents";#N/A,#N/A,FALSE,"Executive Summary";#N/A,#N/A,FALSE,"Investment-Acquisition Costs";#N/A,#N/A,FALSE,"Financing Assumptions";#N/A,#N/A,FALSE,"Rent Roll";#N/A,#N/A,FALSE,"Taxes and Assessments"}</definedName>
    <definedName name="Package" localSheetId="4" hidden="1">{#N/A,#N/A,FALSE,"Cover Page";#N/A,#N/A,FALSE,"Table of Contents";#N/A,#N/A,FALSE,"Executive Summary";#N/A,#N/A,FALSE,"Investment-Acquisition Costs";#N/A,#N/A,FALSE,"Financing Assumptions";#N/A,#N/A,FALSE,"Rent Roll";#N/A,#N/A,FALSE,"Taxes and Assessments"}</definedName>
    <definedName name="Package" hidden="1">{#N/A,#N/A,FALSE,"Cover Page";#N/A,#N/A,FALSE,"Table of Contents";#N/A,#N/A,FALSE,"Executive Summary";#N/A,#N/A,FALSE,"Investment-Acquisition Costs";#N/A,#N/A,FALSE,"Financing Assumptions";#N/A,#N/A,FALSE,"Rent Roll";#N/A,#N/A,FALSE,"Taxes and Assessments"}</definedName>
    <definedName name="_xlnm.Print_Area" localSheetId="0">Description!$B$2:$M$56</definedName>
    <definedName name="_xlnm.Print_Area" localSheetId="1">Projection!$B$2:$N$112</definedName>
    <definedName name="_xlnm.Print_Area" localSheetId="4">'Rent Roll Analysis'!$C$2:$O$199</definedName>
    <definedName name="_xlnm.Print_Area" localSheetId="3">'Rent Roll Summary'!$B$2:$S$13</definedName>
    <definedName name="_xlnm.Print_Titles" localSheetId="4">'Rent Roll Analysis'!$2:$9</definedName>
    <definedName name="_xlnm.Print_Titles" localSheetId="2">'Trailing-12 &amp; Pro Forma'!$B:$B</definedName>
    <definedName name="Roof" localSheetId="5" hidden="1">{"Roofs Page 1",#N/A,FALSE,"Roof Outline";"Roofs Page 2",#N/A,FALSE,"Roof Outline"}</definedName>
    <definedName name="Roof" localSheetId="1" hidden="1">{"Roofs Page 1",#N/A,FALSE,"Roof Outline";"Roofs Page 2",#N/A,FALSE,"Roof Outline"}</definedName>
    <definedName name="Roof" localSheetId="4" hidden="1">{"Roofs Page 1",#N/A,FALSE,"Roof Outline";"Roofs Page 2",#N/A,FALSE,"Roof Outline"}</definedName>
    <definedName name="Roof" hidden="1">{"Roofs Page 1",#N/A,FALSE,"Roof Outline";"Roofs Page 2",#N/A,FALSE,"Roof Outline"}</definedName>
    <definedName name="sadsadsa" localSheetId="5" hidden="1">{"'Assump'!$F$6:$J$6"}</definedName>
    <definedName name="sadsadsa" localSheetId="1" hidden="1">{"'Assump'!$F$6:$J$6"}</definedName>
    <definedName name="sadsadsa" localSheetId="4" hidden="1">{"'Assump'!$F$6:$J$6"}</definedName>
    <definedName name="sadsadsa" hidden="1">{"'Assump'!$F$6:$J$6"}</definedName>
    <definedName name="Sales" localSheetId="5" hidden="1">{#N/A,#N/A,FALSE,"Cover Page";#N/A,#N/A,FALSE,"Table of Contents";#N/A,#N/A,FALSE,"Investment-Acquisition Costs";#N/A,#N/A,FALSE,"Financing Assumptions";#N/A,#N/A,FALSE,"Proforma Assumptions";#N/A,#N/A,FALSE,"Rent Roll";#N/A,#N/A,FALSE,"Taxes and Assessments"}</definedName>
    <definedName name="Sales" localSheetId="1" hidden="1">{#N/A,#N/A,FALSE,"Cover Page";#N/A,#N/A,FALSE,"Table of Contents";#N/A,#N/A,FALSE,"Investment-Acquisition Costs";#N/A,#N/A,FALSE,"Financing Assumptions";#N/A,#N/A,FALSE,"Proforma Assumptions";#N/A,#N/A,FALSE,"Rent Roll";#N/A,#N/A,FALSE,"Taxes and Assessments"}</definedName>
    <definedName name="Sales" localSheetId="4" hidden="1">{#N/A,#N/A,FALSE,"Cover Page";#N/A,#N/A,FALSE,"Table of Contents";#N/A,#N/A,FALSE,"Investment-Acquisition Costs";#N/A,#N/A,FALSE,"Financing Assumptions";#N/A,#N/A,FALSE,"Proforma Assumptions";#N/A,#N/A,FALSE,"Rent Roll";#N/A,#N/A,FALSE,"Taxes and Assessments"}</definedName>
    <definedName name="Sales" hidden="1">{#N/A,#N/A,FALSE,"Cover Page";#N/A,#N/A,FALSE,"Table of Contents";#N/A,#N/A,FALSE,"Investment-Acquisition Costs";#N/A,#N/A,FALSE,"Financing Assumptions";#N/A,#N/A,FALSE,"Proforma Assumptions";#N/A,#N/A,FALSE,"Rent Roll";#N/A,#N/A,FALSE,"Taxes and Assessments"}</definedName>
    <definedName name="sdcds" localSheetId="5" hidden="1">{"'Assump'!$F$6:$J$6"}</definedName>
    <definedName name="sdcds" localSheetId="1" hidden="1">{"'Assump'!$F$6:$J$6"}</definedName>
    <definedName name="sdcds" localSheetId="4" hidden="1">{"'Assump'!$F$6:$J$6"}</definedName>
    <definedName name="sdcds" hidden="1">{"'Assump'!$F$6:$J$6"}</definedName>
    <definedName name="sencount" hidden="1">2</definedName>
    <definedName name="Units">Description!$C$6</definedName>
    <definedName name="wrn.3._.Year._.Summary." localSheetId="5" hidden="1">{#N/A,#N/A,FALSE,"3-Year Summary"}</definedName>
    <definedName name="wrn.3._.Year._.Summary." localSheetId="1" hidden="1">{#N/A,#N/A,FALSE,"3-Year Summary"}</definedName>
    <definedName name="wrn.3._.Year._.Summary." localSheetId="4" hidden="1">{#N/A,#N/A,FALSE,"3-Year Summary"}</definedName>
    <definedName name="wrn.3._.Year._.Summary." hidden="1">{#N/A,#N/A,FALSE,"3-Year Summary"}</definedName>
    <definedName name="wrn.all." localSheetId="5" hidden="1">{#N/A,#N/A,FALSE,"COVER";#N/A,#N/A,FALSE,"TABLE OF CONTENTS";#N/A,#N/A,FALSE,"EXEC SUMM";#N/A,#N/A,FALSE,"SURVEY ";#N/A,#N/A,FALSE,"PROSPECT";#N/A,#N/A,FALSE,"NEW,EXPANSION,RENEWAL,RELET";#N/A,#N/A,FALSE,"EXPIRED,DEFAULTED";#N/A,#N/A,FALSE,"SIGNED LEASES";#N/A,#N/A,FALSE,"LOST TRANSACTIONS ";#N/A,#N/A,FALSE,"STACKING PLAN";#N/A,#N/A,FALSE,"EXPIRATIONS";#N/A,#N/A,FALSE,"OPTIONS";#N/A,#N/A,FALSE,"SUBLEASE";#N/A,#N/A,FALSE,"AR ANALYSIS";#N/A,#N/A,FALSE,"titles"}</definedName>
    <definedName name="wrn.all." localSheetId="1" hidden="1">{#N/A,#N/A,FALSE,"COVER";#N/A,#N/A,FALSE,"TABLE OF CONTENTS";#N/A,#N/A,FALSE,"EXEC SUMM";#N/A,#N/A,FALSE,"SURVEY ";#N/A,#N/A,FALSE,"PROSPECT";#N/A,#N/A,FALSE,"NEW,EXPANSION,RENEWAL,RELET";#N/A,#N/A,FALSE,"EXPIRED,DEFAULTED";#N/A,#N/A,FALSE,"SIGNED LEASES";#N/A,#N/A,FALSE,"LOST TRANSACTIONS ";#N/A,#N/A,FALSE,"STACKING PLAN";#N/A,#N/A,FALSE,"EXPIRATIONS";#N/A,#N/A,FALSE,"OPTIONS";#N/A,#N/A,FALSE,"SUBLEASE";#N/A,#N/A,FALSE,"AR ANALYSIS";#N/A,#N/A,FALSE,"titles"}</definedName>
    <definedName name="wrn.all." localSheetId="4" hidden="1">{#N/A,#N/A,FALSE,"COVER";#N/A,#N/A,FALSE,"TABLE OF CONTENTS";#N/A,#N/A,FALSE,"EXEC SUMM";#N/A,#N/A,FALSE,"SURVEY ";#N/A,#N/A,FALSE,"PROSPECT";#N/A,#N/A,FALSE,"NEW,EXPANSION,RENEWAL,RELET";#N/A,#N/A,FALSE,"EXPIRED,DEFAULTED";#N/A,#N/A,FALSE,"SIGNED LEASES";#N/A,#N/A,FALSE,"LOST TRANSACTIONS ";#N/A,#N/A,FALSE,"STACKING PLAN";#N/A,#N/A,FALSE,"EXPIRATIONS";#N/A,#N/A,FALSE,"OPTIONS";#N/A,#N/A,FALSE,"SUBLEASE";#N/A,#N/A,FALSE,"AR ANALYSIS";#N/A,#N/A,FALSE,"titles"}</definedName>
    <definedName name="wrn.all." hidden="1">{#N/A,#N/A,FALSE,"COVER";#N/A,#N/A,FALSE,"TABLE OF CONTENTS";#N/A,#N/A,FALSE,"EXEC SUMM";#N/A,#N/A,FALSE,"SURVEY ";#N/A,#N/A,FALSE,"PROSPECT";#N/A,#N/A,FALSE,"NEW,EXPANSION,RENEWAL,RELET";#N/A,#N/A,FALSE,"EXPIRED,DEFAULTED";#N/A,#N/A,FALSE,"SIGNED LEASES";#N/A,#N/A,FALSE,"LOST TRANSACTIONS ";#N/A,#N/A,FALSE,"STACKING PLAN";#N/A,#N/A,FALSE,"EXPIRATIONS";#N/A,#N/A,FALSE,"OPTIONS";#N/A,#N/A,FALSE,"SUBLEASE";#N/A,#N/A,FALSE,"AR ANALYSIS";#N/A,#N/A,FALSE,"titles"}</definedName>
    <definedName name="wrn.All._.Budget._.Detail_Forecast." localSheetId="5" hidden="1">{"All Budget Detail-Forecast",#N/A,FALSE,"Forecast"}</definedName>
    <definedName name="wrn.All._.Budget._.Detail_Forecast." localSheetId="1" hidden="1">{"All Budget Detail-Forecast",#N/A,FALSE,"Forecast"}</definedName>
    <definedName name="wrn.All._.Budget._.Detail_Forecast." localSheetId="4" hidden="1">{"All Budget Detail-Forecast",#N/A,FALSE,"Forecast"}</definedName>
    <definedName name="wrn.All._.Budget._.Detail_Forecast." hidden="1">{"All Budget Detail-Forecast",#N/A,FALSE,"Forecast"}</definedName>
    <definedName name="wrn.All._.Budget._.Detail_Reit." localSheetId="5" hidden="1">{"All Budget Detail-Reit",#N/A,FALSE,"Forecast"}</definedName>
    <definedName name="wrn.All._.Budget._.Detail_Reit." localSheetId="1" hidden="1">{"All Budget Detail-Reit",#N/A,FALSE,"Forecast"}</definedName>
    <definedName name="wrn.All._.Budget._.Detail_Reit." localSheetId="4" hidden="1">{"All Budget Detail-Reit",#N/A,FALSE,"Forecast"}</definedName>
    <definedName name="wrn.All._.Budget._.Detail_Reit." hidden="1">{"All Budget Detail-Reit",#N/A,FALSE,"Forecast"}</definedName>
    <definedName name="wrn.All._.Non._.Recov._.Op._.Exp_Forecast." localSheetId="5" hidden="1">{"All Non-Recov. Op. Exp-Forecast",#N/A,FALSE,"Forecast"}</definedName>
    <definedName name="wrn.All._.Non._.Recov._.Op._.Exp_Forecast." localSheetId="1" hidden="1">{"All Non-Recov. Op. Exp-Forecast",#N/A,FALSE,"Forecast"}</definedName>
    <definedName name="wrn.All._.Non._.Recov._.Op._.Exp_Forecast." localSheetId="4" hidden="1">{"All Non-Recov. Op. Exp-Forecast",#N/A,FALSE,"Forecast"}</definedName>
    <definedName name="wrn.All._.Non._.Recov._.Op._.Exp_Forecast." hidden="1">{"All Non-Recov. Op. Exp-Forecast",#N/A,FALSE,"Forecast"}</definedName>
    <definedName name="wrn.All._.Non._.Recov._.Op._.Exp_Reit." localSheetId="5" hidden="1">{"All Non-Recov. Op. Exp-Reit",#N/A,FALSE,"Forecast"}</definedName>
    <definedName name="wrn.All._.Non._.Recov._.Op._.Exp_Reit." localSheetId="1" hidden="1">{"All Non-Recov. Op. Exp-Reit",#N/A,FALSE,"Forecast"}</definedName>
    <definedName name="wrn.All._.Non._.Recov._.Op._.Exp_Reit." localSheetId="4" hidden="1">{"All Non-Recov. Op. Exp-Reit",#N/A,FALSE,"Forecast"}</definedName>
    <definedName name="wrn.All._.Non._.Recov._.Op._.Exp_Reit." hidden="1">{"All Non-Recov. Op. Exp-Reit",#N/A,FALSE,"Forecast"}</definedName>
    <definedName name="wrn.All._.Rental._.Income_Forecast." localSheetId="5" hidden="1">{"All Rental Income-Reforecast",#N/A,FALSE,"Forecast"}</definedName>
    <definedName name="wrn.All._.Rental._.Income_Forecast." localSheetId="1" hidden="1">{"All Rental Income-Reforecast",#N/A,FALSE,"Forecast"}</definedName>
    <definedName name="wrn.All._.Rental._.Income_Forecast." localSheetId="4" hidden="1">{"All Rental Income-Reforecast",#N/A,FALSE,"Forecast"}</definedName>
    <definedName name="wrn.All._.Rental._.Income_Forecast." hidden="1">{"All Rental Income-Reforecast",#N/A,FALSE,"Forecast"}</definedName>
    <definedName name="wrn.All._.Rental._.Income_Reit." localSheetId="5" hidden="1">{"All Rental Income-Reit",#N/A,FALSE,"Forecast"}</definedName>
    <definedName name="wrn.All._.Rental._.Income_Reit." localSheetId="1" hidden="1">{"All Rental Income-Reit",#N/A,FALSE,"Forecast"}</definedName>
    <definedName name="wrn.All._.Rental._.Income_Reit." localSheetId="4" hidden="1">{"All Rental Income-Reit",#N/A,FALSE,"Forecast"}</definedName>
    <definedName name="wrn.All._.Rental._.Income_Reit." hidden="1">{"All Rental Income-Reit",#N/A,FALSE,"Forecast"}</definedName>
    <definedName name="wrn.All._.Schedules." localSheetId="5" hidden="1">{#N/A,#N/A,FALSE,"CF Consolidated 2";#N/A,#N/A,FALSE,"Retail Assump";#N/A,#N/A,FALSE,"CF Retail";#N/A,#N/A,FALSE,"Garage Assumpt 1";#N/A,#N/A,FALSE,"Garage Op Proj";#N/A,#N/A,FALSE,"Hist I&amp;E";#N/A,#N/A,FALSE,"Rent Roll";#N/A,#N/A,FALSE,"RE Taxes";#N/A,#N/A,FALSE,"CAM - BH";#N/A,#N/A,FALSE,"Comm.Condo CAM"}</definedName>
    <definedName name="wrn.All._.Schedules." localSheetId="1" hidden="1">{#N/A,#N/A,FALSE,"CF Consolidated 2";#N/A,#N/A,FALSE,"Retail Assump";#N/A,#N/A,FALSE,"CF Retail";#N/A,#N/A,FALSE,"Garage Assumpt 1";#N/A,#N/A,FALSE,"Garage Op Proj";#N/A,#N/A,FALSE,"Hist I&amp;E";#N/A,#N/A,FALSE,"Rent Roll";#N/A,#N/A,FALSE,"RE Taxes";#N/A,#N/A,FALSE,"CAM - BH";#N/A,#N/A,FALSE,"Comm.Condo CAM"}</definedName>
    <definedName name="wrn.All._.Schedules." localSheetId="4" hidden="1">{#N/A,#N/A,FALSE,"CF Consolidated 2";#N/A,#N/A,FALSE,"Retail Assump";#N/A,#N/A,FALSE,"CF Retail";#N/A,#N/A,FALSE,"Garage Assumpt 1";#N/A,#N/A,FALSE,"Garage Op Proj";#N/A,#N/A,FALSE,"Hist I&amp;E";#N/A,#N/A,FALSE,"Rent Roll";#N/A,#N/A,FALSE,"RE Taxes";#N/A,#N/A,FALSE,"CAM - BH";#N/A,#N/A,FALSE,"Comm.Condo CAM"}</definedName>
    <definedName name="wrn.All._.Schedules." hidden="1">{#N/A,#N/A,FALSE,"CF Consolidated 2";#N/A,#N/A,FALSE,"Retail Assump";#N/A,#N/A,FALSE,"CF Retail";#N/A,#N/A,FALSE,"Garage Assumpt 1";#N/A,#N/A,FALSE,"Garage Op Proj";#N/A,#N/A,FALSE,"Hist I&amp;E";#N/A,#N/A,FALSE,"Rent Roll";#N/A,#N/A,FALSE,"RE Taxes";#N/A,#N/A,FALSE,"CAM - BH";#N/A,#N/A,FALSE,"Comm.Condo CAM"}</definedName>
    <definedName name="wrn.Annual._.Report." localSheetId="5" hidden="1">{"annual",#N/A,FALSE,"Pro Forma";#N/A,#N/A,FALSE,"Golf Operations"}</definedName>
    <definedName name="wrn.Annual._.Report." localSheetId="1" hidden="1">{"annual",#N/A,FALSE,"Pro Forma";#N/A,#N/A,FALSE,"Golf Operations"}</definedName>
    <definedName name="wrn.Annual._.Report." localSheetId="4" hidden="1">{"annual",#N/A,FALSE,"Pro Forma";#N/A,#N/A,FALSE,"Golf Operations"}</definedName>
    <definedName name="wrn.Annual._.Report." hidden="1">{"annual",#N/A,FALSE,"Pro Forma";#N/A,#N/A,FALSE,"Golf Operations"}</definedName>
    <definedName name="wrn.BOOK." localSheetId="5" hidden="1">{#N/A,#N/A,FALSE,"COVER";#N/A,#N/A,FALSE,"TABLE OF CONTENTS";#N/A,#N/A,FALSE,"EXEC SUMM";#N/A,#N/A,FALSE,"SURVEY";#N/A,#N/A,FALSE,"PROSPECT";#N/A,#N/A,FALSE,"NEW,EXPANSION,RENEWAL,RELET";#N/A,#N/A,FALSE,"EXPIRED,DEFAULTED";#N/A,#N/A,FALSE,"SIGNED LEASES";#N/A,#N/A,FALSE,"LOST TRANSACTIONS ";#N/A,#N/A,FALSE,"STACKING PLAN";#N/A,#N/A,FALSE,"EXPIRATIONS";#N/A,#N/A,FALSE,"OPTIONS";#N/A,#N/A,FALSE,"SUBLEASE";#N/A,#N/A,FALSE,"AR ANALYSIS";#N/A,#N/A,FALSE,"NER_IN_PLACE";#N/A,#N/A,FALSE,"NER_ACQ_DATE";#N/A,#N/A,FALSE,"titles"}</definedName>
    <definedName name="wrn.BOOK." localSheetId="1" hidden="1">{#N/A,#N/A,FALSE,"COVER";#N/A,#N/A,FALSE,"TABLE OF CONTENTS";#N/A,#N/A,FALSE,"EXEC SUMM";#N/A,#N/A,FALSE,"SURVEY";#N/A,#N/A,FALSE,"PROSPECT";#N/A,#N/A,FALSE,"NEW,EXPANSION,RENEWAL,RELET";#N/A,#N/A,FALSE,"EXPIRED,DEFAULTED";#N/A,#N/A,FALSE,"SIGNED LEASES";#N/A,#N/A,FALSE,"LOST TRANSACTIONS ";#N/A,#N/A,FALSE,"STACKING PLAN";#N/A,#N/A,FALSE,"EXPIRATIONS";#N/A,#N/A,FALSE,"OPTIONS";#N/A,#N/A,FALSE,"SUBLEASE";#N/A,#N/A,FALSE,"AR ANALYSIS";#N/A,#N/A,FALSE,"NER_IN_PLACE";#N/A,#N/A,FALSE,"NER_ACQ_DATE";#N/A,#N/A,FALSE,"titles"}</definedName>
    <definedName name="wrn.BOOK." localSheetId="4" hidden="1">{#N/A,#N/A,FALSE,"COVER";#N/A,#N/A,FALSE,"TABLE OF CONTENTS";#N/A,#N/A,FALSE,"EXEC SUMM";#N/A,#N/A,FALSE,"SURVEY";#N/A,#N/A,FALSE,"PROSPECT";#N/A,#N/A,FALSE,"NEW,EXPANSION,RENEWAL,RELET";#N/A,#N/A,FALSE,"EXPIRED,DEFAULTED";#N/A,#N/A,FALSE,"SIGNED LEASES";#N/A,#N/A,FALSE,"LOST TRANSACTIONS ";#N/A,#N/A,FALSE,"STACKING PLAN";#N/A,#N/A,FALSE,"EXPIRATIONS";#N/A,#N/A,FALSE,"OPTIONS";#N/A,#N/A,FALSE,"SUBLEASE";#N/A,#N/A,FALSE,"AR ANALYSIS";#N/A,#N/A,FALSE,"NER_IN_PLACE";#N/A,#N/A,FALSE,"NER_ACQ_DATE";#N/A,#N/A,FALSE,"titles"}</definedName>
    <definedName name="wrn.BOOK." hidden="1">{#N/A,#N/A,FALSE,"COVER";#N/A,#N/A,FALSE,"TABLE OF CONTENTS";#N/A,#N/A,FALSE,"EXEC SUMM";#N/A,#N/A,FALSE,"SURVEY";#N/A,#N/A,FALSE,"PROSPECT";#N/A,#N/A,FALSE,"NEW,EXPANSION,RENEWAL,RELET";#N/A,#N/A,FALSE,"EXPIRED,DEFAULTED";#N/A,#N/A,FALSE,"SIGNED LEASES";#N/A,#N/A,FALSE,"LOST TRANSACTIONS ";#N/A,#N/A,FALSE,"STACKING PLAN";#N/A,#N/A,FALSE,"EXPIRATIONS";#N/A,#N/A,FALSE,"OPTIONS";#N/A,#N/A,FALSE,"SUBLEASE";#N/A,#N/A,FALSE,"AR ANALYSIS";#N/A,#N/A,FALSE,"NER_IN_PLACE";#N/A,#N/A,FALSE,"NER_ACQ_DATE";#N/A,#N/A,FALSE,"titles"}</definedName>
    <definedName name="wrn.Capital_Increm.." localSheetId="5" hidden="1">{#N/A,#N/A,FALSE,"Capital-Incremental"}</definedName>
    <definedName name="wrn.Capital_Increm.." localSheetId="1" hidden="1">{#N/A,#N/A,FALSE,"Capital-Incremental"}</definedName>
    <definedName name="wrn.Capital_Increm.." localSheetId="4" hidden="1">{#N/A,#N/A,FALSE,"Capital-Incremental"}</definedName>
    <definedName name="wrn.Capital_Increm.." hidden="1">{#N/A,#N/A,FALSE,"Capital-Incremental"}</definedName>
    <definedName name="wrn.Capital_Nonincre.." localSheetId="5" hidden="1">{#N/A,#N/A,FALSE,"Capital-Nonincremental"}</definedName>
    <definedName name="wrn.Capital_Nonincre.." localSheetId="1" hidden="1">{#N/A,#N/A,FALSE,"Capital-Nonincremental"}</definedName>
    <definedName name="wrn.Capital_Nonincre.." localSheetId="4" hidden="1">{#N/A,#N/A,FALSE,"Capital-Nonincremental"}</definedName>
    <definedName name="wrn.Capital_Nonincre.." hidden="1">{#N/A,#N/A,FALSE,"Capital-Nonincremental"}</definedName>
    <definedName name="wrn.CAPREIT." localSheetId="5" hidden="1">{#N/A,#N/A,FALSE,"CAPREIT"}</definedName>
    <definedName name="wrn.CAPREIT." localSheetId="1" hidden="1">{#N/A,#N/A,FALSE,"CAPREIT"}</definedName>
    <definedName name="wrn.CAPREIT." localSheetId="4" hidden="1">{#N/A,#N/A,FALSE,"CAPREIT"}</definedName>
    <definedName name="wrn.CAPREIT." hidden="1">{#N/A,#N/A,FALSE,"CAPREIT"}</definedName>
    <definedName name="wrn.CAPREIT2" localSheetId="5" hidden="1">{#N/A,#N/A,FALSE,"CAPREIT"}</definedName>
    <definedName name="wrn.CAPREIT2" localSheetId="1" hidden="1">{#N/A,#N/A,FALSE,"CAPREIT"}</definedName>
    <definedName name="wrn.CAPREIT2" localSheetId="4" hidden="1">{#N/A,#N/A,FALSE,"CAPREIT"}</definedName>
    <definedName name="wrn.CAPREIT2" hidden="1">{#N/A,#N/A,FALSE,"CAPREIT"}</definedName>
    <definedName name="wrn.Cash._.Flow._.and._.Matrix." localSheetId="5" hidden="1">{#N/A,#N/A,FALSE,"Matrix";#N/A,#N/A,FALSE,"Cash Flow";#N/A,#N/A,FALSE,"10 Year Cost Analysis"}</definedName>
    <definedName name="wrn.Cash._.Flow._.and._.Matrix." localSheetId="1" hidden="1">{#N/A,#N/A,FALSE,"Matrix";#N/A,#N/A,FALSE,"Cash Flow";#N/A,#N/A,FALSE,"10 Year Cost Analysis"}</definedName>
    <definedName name="wrn.Cash._.Flow._.and._.Matrix." localSheetId="4" hidden="1">{#N/A,#N/A,FALSE,"Matrix";#N/A,#N/A,FALSE,"Cash Flow";#N/A,#N/A,FALSE,"10 Year Cost Analysis"}</definedName>
    <definedName name="wrn.Cash._.Flow._.and._.Matrix." hidden="1">{#N/A,#N/A,FALSE,"Matrix";#N/A,#N/A,FALSE,"Cash Flow";#N/A,#N/A,FALSE,"10 Year Cost Analysis"}</definedName>
    <definedName name="wrn.CASH._.FLOWS._.ONLY." localSheetId="5" hidden="1">{#N/A,#N/A,FALSE,"Assumptions";#N/A,#N/A,FALSE,"Consol CF";#N/A,#N/A,FALSE,"Hacienda CF";#N/A,#N/A,FALSE,"Chabot CF";#N/A,#N/A,FALSE,"Diablo CF"}</definedName>
    <definedName name="wrn.CASH._.FLOWS._.ONLY." localSheetId="1" hidden="1">{#N/A,#N/A,FALSE,"Assumptions";#N/A,#N/A,FALSE,"Consol CF";#N/A,#N/A,FALSE,"Hacienda CF";#N/A,#N/A,FALSE,"Chabot CF";#N/A,#N/A,FALSE,"Diablo CF"}</definedName>
    <definedName name="wrn.CASH._.FLOWS._.ONLY." localSheetId="4" hidden="1">{#N/A,#N/A,FALSE,"Assumptions";#N/A,#N/A,FALSE,"Consol CF";#N/A,#N/A,FALSE,"Hacienda CF";#N/A,#N/A,FALSE,"Chabot CF";#N/A,#N/A,FALSE,"Diablo CF"}</definedName>
    <definedName name="wrn.CASH._.FLOWS._.ONLY." hidden="1">{#N/A,#N/A,FALSE,"Assumptions";#N/A,#N/A,FALSE,"Consol CF";#N/A,#N/A,FALSE,"Hacienda CF";#N/A,#N/A,FALSE,"Chabot CF";#N/A,#N/A,FALSE,"Diablo CF"}</definedName>
    <definedName name="wrn.FCG." localSheetId="5" hidden="1">{#N/A,#N/A,TRUE,"Title Page";#N/A,#N/A,TRUE,"Executive Summary";#N/A,#N/A,TRUE,"Cash Flow";#N/A,#N/A,TRUE,"Exp Detail";#N/A,#N/A,TRUE,"Pricing Matrix";#N/A,#N/A,TRUE,"Value Matrix";#N/A,#N/A,TRUE,"Assumptions";#N/A,#N/A,TRUE,"Vacant Space";#N/A,#N/A,TRUE,"2nd Generation";#N/A,#N/A,TRUE,"Existing vs Mkt";#N/A,#N/A,TRUE,"Expiration Schedule";#N/A,#N/A,TRUE,"Expiration Graph ";#N/A,#N/A,TRUE,"Residual - Marketing";#N/A,#N/A,TRUE,"Vacancy Detail"}</definedName>
    <definedName name="wrn.FCG." localSheetId="1" hidden="1">{#N/A,#N/A,TRUE,"Title Page";#N/A,#N/A,TRUE,"Executive Summary";#N/A,#N/A,TRUE,"Cash Flow";#N/A,#N/A,TRUE,"Exp Detail";#N/A,#N/A,TRUE,"Pricing Matrix";#N/A,#N/A,TRUE,"Value Matrix";#N/A,#N/A,TRUE,"Assumptions";#N/A,#N/A,TRUE,"Vacant Space";#N/A,#N/A,TRUE,"2nd Generation";#N/A,#N/A,TRUE,"Existing vs Mkt";#N/A,#N/A,TRUE,"Expiration Schedule";#N/A,#N/A,TRUE,"Expiration Graph ";#N/A,#N/A,TRUE,"Residual - Marketing";#N/A,#N/A,TRUE,"Vacancy Detail"}</definedName>
    <definedName name="wrn.FCG." localSheetId="4" hidden="1">{#N/A,#N/A,TRUE,"Title Page";#N/A,#N/A,TRUE,"Executive Summary";#N/A,#N/A,TRUE,"Cash Flow";#N/A,#N/A,TRUE,"Exp Detail";#N/A,#N/A,TRUE,"Pricing Matrix";#N/A,#N/A,TRUE,"Value Matrix";#N/A,#N/A,TRUE,"Assumptions";#N/A,#N/A,TRUE,"Vacant Space";#N/A,#N/A,TRUE,"2nd Generation";#N/A,#N/A,TRUE,"Existing vs Mkt";#N/A,#N/A,TRUE,"Expiration Schedule";#N/A,#N/A,TRUE,"Expiration Graph ";#N/A,#N/A,TRUE,"Residual - Marketing";#N/A,#N/A,TRUE,"Vacancy Detail"}</definedName>
    <definedName name="wrn.FCG." hidden="1">{#N/A,#N/A,TRUE,"Title Page";#N/A,#N/A,TRUE,"Executive Summary";#N/A,#N/A,TRUE,"Cash Flow";#N/A,#N/A,TRUE,"Exp Detail";#N/A,#N/A,TRUE,"Pricing Matrix";#N/A,#N/A,TRUE,"Value Matrix";#N/A,#N/A,TRUE,"Assumptions";#N/A,#N/A,TRUE,"Vacant Space";#N/A,#N/A,TRUE,"2nd Generation";#N/A,#N/A,TRUE,"Existing vs Mkt";#N/A,#N/A,TRUE,"Expiration Schedule";#N/A,#N/A,TRUE,"Expiration Graph ";#N/A,#N/A,TRUE,"Residual - Marketing";#N/A,#N/A,TRUE,"Vacancy Detail"}</definedName>
    <definedName name="wrn.Financial._.Statements." localSheetId="5" hidden="1">{#N/A,#N/A,FALSE,"BS";#N/A,#N/A,FALSE,"IS";#N/A,#N/A,FALSE,"CF";#N/A,#N/A,FALSE,"EXP";#N/A,#N/A,FALSE,"FURN";#N/A,#N/A,FALSE,"MANNOI"}</definedName>
    <definedName name="wrn.Financial._.Statements." localSheetId="1" hidden="1">{#N/A,#N/A,FALSE,"BS";#N/A,#N/A,FALSE,"IS";#N/A,#N/A,FALSE,"CF";#N/A,#N/A,FALSE,"EXP";#N/A,#N/A,FALSE,"FURN";#N/A,#N/A,FALSE,"MANNOI"}</definedName>
    <definedName name="wrn.Financial._.Statements." localSheetId="4" hidden="1">{#N/A,#N/A,FALSE,"BS";#N/A,#N/A,FALSE,"IS";#N/A,#N/A,FALSE,"CF";#N/A,#N/A,FALSE,"EXP";#N/A,#N/A,FALSE,"FURN";#N/A,#N/A,FALSE,"MANNOI"}</definedName>
    <definedName name="wrn.Financial._.Statements." hidden="1">{#N/A,#N/A,FALSE,"BS";#N/A,#N/A,FALSE,"IS";#N/A,#N/A,FALSE,"CF";#N/A,#N/A,FALSE,"EXP";#N/A,#N/A,FALSE,"FURN";#N/A,#N/A,FALSE,"MANNOI"}</definedName>
    <definedName name="wrn.Fmgmtfee." localSheetId="5" hidden="1">{#N/A,#N/A,FALSE,"Fmgmtfee"}</definedName>
    <definedName name="wrn.Fmgmtfee." localSheetId="1" hidden="1">{#N/A,#N/A,FALSE,"Fmgmtfee"}</definedName>
    <definedName name="wrn.Fmgmtfee." localSheetId="4" hidden="1">{#N/A,#N/A,FALSE,"Fmgmtfee"}</definedName>
    <definedName name="wrn.Fmgmtfee." hidden="1">{#N/A,#N/A,FALSE,"Fmgmtfee"}</definedName>
    <definedName name="wrn.Full_Template." localSheetId="5" hidden="1">{#N/A,#N/A,FALSE,"1Summary";#N/A,#N/A,FALSE,"2Assumptions";#N/A,#N/A,FALSE,"3Cash Flow";#N/A,#N/A,FALSE,"4Return of Investment Chart";#N/A,#N/A,FALSE,"5Year 1 Reconciliation";#N/A,#N/A,FALSE,"6Residual";#N/A,#N/A,FALSE,"7Pricing Matrix";#N/A,#N/A,FALSE,"8Vacancy Matrix";#N/A,#N/A,FALSE,"9Vacancy Chart";#N/A,#N/A,FALSE,"AExpiration Schedule";#N/A,#N/A,FALSE,"BExpiration Chart";#N/A,#N/A,FALSE,"CLease-up Schedule";#N/A,#N/A,FALSE,"DWeighted Average Calculation"}</definedName>
    <definedName name="wrn.Full_Template." localSheetId="1" hidden="1">{#N/A,#N/A,FALSE,"1Summary";#N/A,#N/A,FALSE,"2Assumptions";#N/A,#N/A,FALSE,"3Cash Flow";#N/A,#N/A,FALSE,"4Return of Investment Chart";#N/A,#N/A,FALSE,"5Year 1 Reconciliation";#N/A,#N/A,FALSE,"6Residual";#N/A,#N/A,FALSE,"7Pricing Matrix";#N/A,#N/A,FALSE,"8Vacancy Matrix";#N/A,#N/A,FALSE,"9Vacancy Chart";#N/A,#N/A,FALSE,"AExpiration Schedule";#N/A,#N/A,FALSE,"BExpiration Chart";#N/A,#N/A,FALSE,"CLease-up Schedule";#N/A,#N/A,FALSE,"DWeighted Average Calculation"}</definedName>
    <definedName name="wrn.Full_Template." localSheetId="4" hidden="1">{#N/A,#N/A,FALSE,"1Summary";#N/A,#N/A,FALSE,"2Assumptions";#N/A,#N/A,FALSE,"3Cash Flow";#N/A,#N/A,FALSE,"4Return of Investment Chart";#N/A,#N/A,FALSE,"5Year 1 Reconciliation";#N/A,#N/A,FALSE,"6Residual";#N/A,#N/A,FALSE,"7Pricing Matrix";#N/A,#N/A,FALSE,"8Vacancy Matrix";#N/A,#N/A,FALSE,"9Vacancy Chart";#N/A,#N/A,FALSE,"AExpiration Schedule";#N/A,#N/A,FALSE,"BExpiration Chart";#N/A,#N/A,FALSE,"CLease-up Schedule";#N/A,#N/A,FALSE,"DWeighted Average Calculation"}</definedName>
    <definedName name="wrn.Full_Template." hidden="1">{#N/A,#N/A,FALSE,"1Summary";#N/A,#N/A,FALSE,"2Assumptions";#N/A,#N/A,FALSE,"3Cash Flow";#N/A,#N/A,FALSE,"4Return of Investment Chart";#N/A,#N/A,FALSE,"5Year 1 Reconciliation";#N/A,#N/A,FALSE,"6Residual";#N/A,#N/A,FALSE,"7Pricing Matrix";#N/A,#N/A,FALSE,"8Vacancy Matrix";#N/A,#N/A,FALSE,"9Vacancy Chart";#N/A,#N/A,FALSE,"AExpiration Schedule";#N/A,#N/A,FALSE,"BExpiration Chart";#N/A,#N/A,FALSE,"CLease-up Schedule";#N/A,#N/A,FALSE,"DWeighted Average Calculation"}</definedName>
    <definedName name="wrn.Garage." localSheetId="5" hidden="1">{#N/A,#N/A,FALSE,"Garage Assumpt 1";#N/A,#N/A,FALSE,"Garage Op Proj";#N/A,#N/A,FALSE,"Hist I&amp;E";#N/A,#N/A,FALSE,"Garage Lease"}</definedName>
    <definedName name="wrn.Garage." localSheetId="1" hidden="1">{#N/A,#N/A,FALSE,"Garage Assumpt 1";#N/A,#N/A,FALSE,"Garage Op Proj";#N/A,#N/A,FALSE,"Hist I&amp;E";#N/A,#N/A,FALSE,"Garage Lease"}</definedName>
    <definedName name="wrn.Garage." localSheetId="4" hidden="1">{#N/A,#N/A,FALSE,"Garage Assumpt 1";#N/A,#N/A,FALSE,"Garage Op Proj";#N/A,#N/A,FALSE,"Hist I&amp;E";#N/A,#N/A,FALSE,"Garage Lease"}</definedName>
    <definedName name="wrn.Garage." hidden="1">{#N/A,#N/A,FALSE,"Garage Assumpt 1";#N/A,#N/A,FALSE,"Garage Op Proj";#N/A,#N/A,FALSE,"Hist I&amp;E";#N/A,#N/A,FALSE,"Garage Lease"}</definedName>
    <definedName name="wrn.Gross._.up." localSheetId="5" hidden="1">{#N/A,#N/A,FALSE,"Gross-Up"}</definedName>
    <definedName name="wrn.Gross._.up." localSheetId="1" hidden="1">{#N/A,#N/A,FALSE,"Gross-Up"}</definedName>
    <definedName name="wrn.Gross._.up." localSheetId="4" hidden="1">{#N/A,#N/A,FALSE,"Gross-Up"}</definedName>
    <definedName name="wrn.Gross._.up." hidden="1">{#N/A,#N/A,FALSE,"Gross-Up"}</definedName>
    <definedName name="wrn.Income._.Statements." localSheetId="5" hidden="1">{#N/A,#N/A,FALSE,"Consol CF";#N/A,#N/A,FALSE,"matx B4 DS";#N/A,#N/A,FALSE,"Hacienda CF";#N/A,#N/A,FALSE,"matx B4 DS Hac";#N/A,#N/A,FALSE,"Chabot CF";#N/A,#N/A,FALSE,"matx B4 DS Chabot";#N/A,#N/A,FALSE,"Diablo CF";#N/A,#N/A,FALSE,"matx B4 DS Diablo";#N/A,#N/A,FALSE,"HAC2-CF";#N/A,#N/A,FALSE,"HAC3-CF";#N/A,#N/A,FALSE,"HAC4-CF";#N/A,#N/A,FALSE,"HAC5-CF";#N/A,#N/A,FALSE,"HAC6-CF";#N/A,#N/A,FALSE,"HAC7-CF";#N/A,#N/A,FALSE,"HAC8-CF";#N/A,#N/A,FALSE,"HAC9-CF";#N/A,#N/A,FALSE,"HA10-CF"}</definedName>
    <definedName name="wrn.Income._.Statements." localSheetId="1" hidden="1">{#N/A,#N/A,FALSE,"Consol CF";#N/A,#N/A,FALSE,"matx B4 DS";#N/A,#N/A,FALSE,"Hacienda CF";#N/A,#N/A,FALSE,"matx B4 DS Hac";#N/A,#N/A,FALSE,"Chabot CF";#N/A,#N/A,FALSE,"matx B4 DS Chabot";#N/A,#N/A,FALSE,"Diablo CF";#N/A,#N/A,FALSE,"matx B4 DS Diablo";#N/A,#N/A,FALSE,"HAC2-CF";#N/A,#N/A,FALSE,"HAC3-CF";#N/A,#N/A,FALSE,"HAC4-CF";#N/A,#N/A,FALSE,"HAC5-CF";#N/A,#N/A,FALSE,"HAC6-CF";#N/A,#N/A,FALSE,"HAC7-CF";#N/A,#N/A,FALSE,"HAC8-CF";#N/A,#N/A,FALSE,"HAC9-CF";#N/A,#N/A,FALSE,"HA10-CF"}</definedName>
    <definedName name="wrn.Income._.Statements." localSheetId="4" hidden="1">{#N/A,#N/A,FALSE,"Consol CF";#N/A,#N/A,FALSE,"matx B4 DS";#N/A,#N/A,FALSE,"Hacienda CF";#N/A,#N/A,FALSE,"matx B4 DS Hac";#N/A,#N/A,FALSE,"Chabot CF";#N/A,#N/A,FALSE,"matx B4 DS Chabot";#N/A,#N/A,FALSE,"Diablo CF";#N/A,#N/A,FALSE,"matx B4 DS Diablo";#N/A,#N/A,FALSE,"HAC2-CF";#N/A,#N/A,FALSE,"HAC3-CF";#N/A,#N/A,FALSE,"HAC4-CF";#N/A,#N/A,FALSE,"HAC5-CF";#N/A,#N/A,FALSE,"HAC6-CF";#N/A,#N/A,FALSE,"HAC7-CF";#N/A,#N/A,FALSE,"HAC8-CF";#N/A,#N/A,FALSE,"HAC9-CF";#N/A,#N/A,FALSE,"HA10-CF"}</definedName>
    <definedName name="wrn.Income._.Statements." hidden="1">{#N/A,#N/A,FALSE,"Consol CF";#N/A,#N/A,FALSE,"matx B4 DS";#N/A,#N/A,FALSE,"Hacienda CF";#N/A,#N/A,FALSE,"matx B4 DS Hac";#N/A,#N/A,FALSE,"Chabot CF";#N/A,#N/A,FALSE,"matx B4 DS Chabot";#N/A,#N/A,FALSE,"Diablo CF";#N/A,#N/A,FALSE,"matx B4 DS Diablo";#N/A,#N/A,FALSE,"HAC2-CF";#N/A,#N/A,FALSE,"HAC3-CF";#N/A,#N/A,FALSE,"HAC4-CF";#N/A,#N/A,FALSE,"HAC5-CF";#N/A,#N/A,FALSE,"HAC6-CF";#N/A,#N/A,FALSE,"HAC7-CF";#N/A,#N/A,FALSE,"HAC8-CF";#N/A,#N/A,FALSE,"HAC9-CF";#N/A,#N/A,FALSE,"HA10-CF"}</definedName>
    <definedName name="wrn.MATRICES._.and._.CFs." localSheetId="5" hidden="1">{#N/A,#N/A,FALSE,"Assumptions";#N/A,#N/A,FALSE,"Consol CF";#N/A,#N/A,FALSE,"matx B4 DS";#N/A,#N/A,FALSE,"Hacienda CF";#N/A,#N/A,FALSE,"matx B4 DS Hac";#N/A,#N/A,FALSE,"Chabot CF";#N/A,#N/A,FALSE,"matx B4 DS Chabot";#N/A,#N/A,FALSE,"Diablo CF";#N/A,#N/A,FALSE,"matx B4 DS Diablo"}</definedName>
    <definedName name="wrn.MATRICES._.and._.CFs." localSheetId="1" hidden="1">{#N/A,#N/A,FALSE,"Assumptions";#N/A,#N/A,FALSE,"Consol CF";#N/A,#N/A,FALSE,"matx B4 DS";#N/A,#N/A,FALSE,"Hacienda CF";#N/A,#N/A,FALSE,"matx B4 DS Hac";#N/A,#N/A,FALSE,"Chabot CF";#N/A,#N/A,FALSE,"matx B4 DS Chabot";#N/A,#N/A,FALSE,"Diablo CF";#N/A,#N/A,FALSE,"matx B4 DS Diablo"}</definedName>
    <definedName name="wrn.MATRICES._.and._.CFs." localSheetId="4" hidden="1">{#N/A,#N/A,FALSE,"Assumptions";#N/A,#N/A,FALSE,"Consol CF";#N/A,#N/A,FALSE,"matx B4 DS";#N/A,#N/A,FALSE,"Hacienda CF";#N/A,#N/A,FALSE,"matx B4 DS Hac";#N/A,#N/A,FALSE,"Chabot CF";#N/A,#N/A,FALSE,"matx B4 DS Chabot";#N/A,#N/A,FALSE,"Diablo CF";#N/A,#N/A,FALSE,"matx B4 DS Diablo"}</definedName>
    <definedName name="wrn.MATRICES._.and._.CFs." hidden="1">{#N/A,#N/A,FALSE,"Assumptions";#N/A,#N/A,FALSE,"Consol CF";#N/A,#N/A,FALSE,"matx B4 DS";#N/A,#N/A,FALSE,"Hacienda CF";#N/A,#N/A,FALSE,"matx B4 DS Hac";#N/A,#N/A,FALSE,"Chabot CF";#N/A,#N/A,FALSE,"matx B4 DS Chabot";#N/A,#N/A,FALSE,"Diablo CF";#N/A,#N/A,FALSE,"matx B4 DS Diablo"}</definedName>
    <definedName name="wrn.MATRICIES._.ONLY." localSheetId="5" hidden="1">{#N/A,#N/A,FALSE,"matx B4 DS";#N/A,#N/A,FALSE,"matx B4 DS Hac";#N/A,#N/A,FALSE,"matx B4 DS Chabot";#N/A,#N/A,FALSE,"matx B4 DS Diablo"}</definedName>
    <definedName name="wrn.MATRICIES._.ONLY." localSheetId="1" hidden="1">{#N/A,#N/A,FALSE,"matx B4 DS";#N/A,#N/A,FALSE,"matx B4 DS Hac";#N/A,#N/A,FALSE,"matx B4 DS Chabot";#N/A,#N/A,FALSE,"matx B4 DS Diablo"}</definedName>
    <definedName name="wrn.MATRICIES._.ONLY." localSheetId="4" hidden="1">{#N/A,#N/A,FALSE,"matx B4 DS";#N/A,#N/A,FALSE,"matx B4 DS Hac";#N/A,#N/A,FALSE,"matx B4 DS Chabot";#N/A,#N/A,FALSE,"matx B4 DS Diablo"}</definedName>
    <definedName name="wrn.MATRICIES._.ONLY." hidden="1">{#N/A,#N/A,FALSE,"matx B4 DS";#N/A,#N/A,FALSE,"matx B4 DS Hac";#N/A,#N/A,FALSE,"matx B4 DS Chabot";#N/A,#N/A,FALSE,"matx B4 DS Diablo"}</definedName>
    <definedName name="wrn.Palms._.at._.South._.Shore." localSheetId="5" hidden="1">{#N/A,#N/A,FALSE,"loananalysis";#N/A,#N/A,FALSE,"proforma";#N/A,#N/A,FALSE,"unitmix"}</definedName>
    <definedName name="wrn.Palms._.at._.South._.Shore." localSheetId="1" hidden="1">{#N/A,#N/A,FALSE,"loananalysis";#N/A,#N/A,FALSE,"proforma";#N/A,#N/A,FALSE,"unitmix"}</definedName>
    <definedName name="wrn.Palms._.at._.South._.Shore." localSheetId="4" hidden="1">{#N/A,#N/A,FALSE,"loananalysis";#N/A,#N/A,FALSE,"proforma";#N/A,#N/A,FALSE,"unitmix"}</definedName>
    <definedName name="wrn.Palms._.at._.South._.Shore." hidden="1">{#N/A,#N/A,FALSE,"loananalysis";#N/A,#N/A,FALSE,"proforma";#N/A,#N/A,FALSE,"unitmix"}</definedName>
    <definedName name="wrn.Partial." localSheetId="5" hidden="1">{#N/A,#N/A,FALSE,"1Summary";#N/A,#N/A,FALSE,"Assumptions";#N/A,#N/A,FALSE,"Rent Roll Summary";#N/A,#N/A,FALSE,"Effective Rental Income Detail";#N/A,#N/A,FALSE,"Cash Flow Projections";#N/A,#N/A,FALSE,"Operating Statement";#N/A,#N/A,FALSE,"Pricing Matrix"}</definedName>
    <definedName name="wrn.Partial." localSheetId="1" hidden="1">{#N/A,#N/A,FALSE,"1Summary";#N/A,#N/A,FALSE,"Assumptions";#N/A,#N/A,FALSE,"Rent Roll Summary";#N/A,#N/A,FALSE,"Effective Rental Income Detail";#N/A,#N/A,FALSE,"Cash Flow Projections";#N/A,#N/A,FALSE,"Operating Statement";#N/A,#N/A,FALSE,"Pricing Matrix"}</definedName>
    <definedName name="wrn.Partial." localSheetId="4" hidden="1">{#N/A,#N/A,FALSE,"1Summary";#N/A,#N/A,FALSE,"Assumptions";#N/A,#N/A,FALSE,"Rent Roll Summary";#N/A,#N/A,FALSE,"Effective Rental Income Detail";#N/A,#N/A,FALSE,"Cash Flow Projections";#N/A,#N/A,FALSE,"Operating Statement";#N/A,#N/A,FALSE,"Pricing Matrix"}</definedName>
    <definedName name="wrn.Partial." localSheetId="2" hidden="1">{#N/A,#N/A,FALSE,"1Summary";#N/A,#N/A,FALSE,"Assumptions";#N/A,#N/A,FALSE,"Rent Roll Summary";#N/A,#N/A,FALSE,"Effective Rental Income Detail";#N/A,#N/A,FALSE,"Cash Flow Projections";#N/A,#N/A,FALSE,"Operating Statement";#N/A,#N/A,FALSE,"Pricing Matrix"}</definedName>
    <definedName name="wrn.Partial." hidden="1">{#N/A,#N/A,FALSE,"1Summary";#N/A,#N/A,FALSE,"Assumptions";#N/A,#N/A,FALSE,"Rent Roll Summary";#N/A,#N/A,FALSE,"Effective Rental Income Detail";#N/A,#N/A,FALSE,"Cash Flow Projections";#N/A,#N/A,FALSE,"Operating Statement";#N/A,#N/A,FALSE,"Pricing Matrix"}</definedName>
    <definedName name="wrn.Partial_Template." localSheetId="5" hidden="1">{#N/A,#N/A,FALSE,"1Summary";#N/A,#N/A,FALSE,"2Assumptions";#N/A,#N/A,FALSE,"3Cash Flow";#N/A,#N/A,FALSE,"6Residual";#N/A,#N/A,FALSE,"AExpiration Schedule"}</definedName>
    <definedName name="wrn.Partial_Template." localSheetId="1" hidden="1">{#N/A,#N/A,FALSE,"1Summary";#N/A,#N/A,FALSE,"2Assumptions";#N/A,#N/A,FALSE,"3Cash Flow";#N/A,#N/A,FALSE,"6Residual";#N/A,#N/A,FALSE,"AExpiration Schedule"}</definedName>
    <definedName name="wrn.Partial_Template." localSheetId="4" hidden="1">{#N/A,#N/A,FALSE,"1Summary";#N/A,#N/A,FALSE,"2Assumptions";#N/A,#N/A,FALSE,"3Cash Flow";#N/A,#N/A,FALSE,"6Residual";#N/A,#N/A,FALSE,"AExpiration Schedule"}</definedName>
    <definedName name="wrn.Partial_Template." localSheetId="2" hidden="1">{#N/A,#N/A,FALSE,"1Summary";#N/A,#N/A,FALSE,"2Assumptions";#N/A,#N/A,FALSE,"3Cash Flow";#N/A,#N/A,FALSE,"6Residual";#N/A,#N/A,FALSE,"AExpiration Schedule"}</definedName>
    <definedName name="wrn.Partial_Template." hidden="1">{#N/A,#N/A,FALSE,"1Summary";#N/A,#N/A,FALSE,"2Assumptions";#N/A,#N/A,FALSE,"3Cash Flow";#N/A,#N/A,FALSE,"6Residual";#N/A,#N/A,FALSE,"AExpiration Schedule"}</definedName>
    <definedName name="wrn.Pineway." localSheetId="5" hidden="1">{#N/A,#N/A,FALSE,"rent schedule";#N/A,#N/A,FALSE,"income expenses";#N/A,#N/A,FALSE,"proforma";#N/A,#N/A,FALSE,"proforma stab";#N/A,#N/A,FALSE,"loan analysis";#N/A,#N/A,FALSE,"loan analysis stab";#N/A,#N/A,FALSE,"income expenses"}</definedName>
    <definedName name="wrn.Pineway." localSheetId="1" hidden="1">{#N/A,#N/A,FALSE,"rent schedule";#N/A,#N/A,FALSE,"income expenses";#N/A,#N/A,FALSE,"proforma";#N/A,#N/A,FALSE,"proforma stab";#N/A,#N/A,FALSE,"loan analysis";#N/A,#N/A,FALSE,"loan analysis stab";#N/A,#N/A,FALSE,"income expenses"}</definedName>
    <definedName name="wrn.Pineway." localSheetId="4" hidden="1">{#N/A,#N/A,FALSE,"rent schedule";#N/A,#N/A,FALSE,"income expenses";#N/A,#N/A,FALSE,"proforma";#N/A,#N/A,FALSE,"proforma stab";#N/A,#N/A,FALSE,"loan analysis";#N/A,#N/A,FALSE,"loan analysis stab";#N/A,#N/A,FALSE,"income expenses"}</definedName>
    <definedName name="wrn.Pineway." hidden="1">{#N/A,#N/A,FALSE,"rent schedule";#N/A,#N/A,FALSE,"income expenses";#N/A,#N/A,FALSE,"proforma";#N/A,#N/A,FALSE,"proforma stab";#N/A,#N/A,FALSE,"loan analysis";#N/A,#N/A,FALSE,"loan analysis stab";#N/A,#N/A,FALSE,"income expenses"}</definedName>
    <definedName name="wrn.Portfolio." localSheetId="5" hidden="1">{#N/A,#N/A,FALSE,"Portfolio Summary";#N/A,#N/A,FALSE,"Portfolio Operating Stmt";#N/A,#N/A,FALSE,"Portfolio Cash Flow"}</definedName>
    <definedName name="wrn.Portfolio." localSheetId="1" hidden="1">{#N/A,#N/A,FALSE,"Portfolio Summary";#N/A,#N/A,FALSE,"Portfolio Operating Stmt";#N/A,#N/A,FALSE,"Portfolio Cash Flow"}</definedName>
    <definedName name="wrn.Portfolio." localSheetId="4" hidden="1">{#N/A,#N/A,FALSE,"Portfolio Summary";#N/A,#N/A,FALSE,"Portfolio Operating Stmt";#N/A,#N/A,FALSE,"Portfolio Cash Flow"}</definedName>
    <definedName name="wrn.Portfolio." localSheetId="2" hidden="1">{#N/A,#N/A,FALSE,"Portfolio Summary";#N/A,#N/A,FALSE,"Portfolio Operating Stmt";#N/A,#N/A,FALSE,"Portfolio Cash Flow"}</definedName>
    <definedName name="wrn.Portfolio." hidden="1">{#N/A,#N/A,FALSE,"Portfolio Summary";#N/A,#N/A,FALSE,"Portfolio Operating Stmt";#N/A,#N/A,FALSE,"Portfolio Cash Flow"}</definedName>
    <definedName name="wrn.Prepaid_Recov.." localSheetId="5" hidden="1">{#N/A,#N/A,FALSE,"Prepaid Recoverable"}</definedName>
    <definedName name="wrn.Prepaid_Recov.." localSheetId="1" hidden="1">{#N/A,#N/A,FALSE,"Prepaid Recoverable"}</definedName>
    <definedName name="wrn.Prepaid_Recov.." localSheetId="4" hidden="1">{#N/A,#N/A,FALSE,"Prepaid Recoverable"}</definedName>
    <definedName name="wrn.Prepaid_Recov.." hidden="1">{#N/A,#N/A,FALSE,"Prepaid Recoverable"}</definedName>
    <definedName name="wrn.PrintAll." localSheetId="5" hidden="1">{#N/A,#N/A,FALSE,"Broker Sheet";#N/A,#N/A,FALSE,"Exec.Summary";#N/A,#N/A,FALSE,"Argus Cash Flow";#N/A,#N/A,FALSE,"SPF";#N/A,#N/A,FALSE,"RentRoll"}</definedName>
    <definedName name="wrn.PrintAll." localSheetId="1" hidden="1">{#N/A,#N/A,FALSE,"Broker Sheet";#N/A,#N/A,FALSE,"Exec.Summary";#N/A,#N/A,FALSE,"Argus Cash Flow";#N/A,#N/A,FALSE,"SPF";#N/A,#N/A,FALSE,"RentRoll"}</definedName>
    <definedName name="wrn.PrintAll." localSheetId="4" hidden="1">{#N/A,#N/A,FALSE,"Broker Sheet";#N/A,#N/A,FALSE,"Exec.Summary";#N/A,#N/A,FALSE,"Argus Cash Flow";#N/A,#N/A,FALSE,"SPF";#N/A,#N/A,FALSE,"RentRoll"}</definedName>
    <definedName name="wrn.PrintAll." hidden="1">{#N/A,#N/A,FALSE,"Broker Sheet";#N/A,#N/A,FALSE,"Exec.Summary";#N/A,#N/A,FALSE,"Argus Cash Flow";#N/A,#N/A,FALSE,"SPF";#N/A,#N/A,FALSE,"RentRoll"}</definedName>
    <definedName name="wrn.Rmgmtfee." localSheetId="5" hidden="1">{#N/A,#N/A,FALSE,"Rmgmtfee"}</definedName>
    <definedName name="wrn.Rmgmtfee." localSheetId="1" hidden="1">{#N/A,#N/A,FALSE,"Rmgmtfee"}</definedName>
    <definedName name="wrn.Rmgmtfee." localSheetId="4" hidden="1">{#N/A,#N/A,FALSE,"Rmgmtfee"}</definedName>
    <definedName name="wrn.Rmgmtfee." hidden="1">{#N/A,#N/A,FALSE,"Rmgmtfee"}</definedName>
    <definedName name="wrn.Roof._.Report." localSheetId="5" hidden="1">{"Roofs Page 1",#N/A,FALSE,"Roof Outline";"Roofs Page 2",#N/A,FALSE,"Roof Outline"}</definedName>
    <definedName name="wrn.Roof._.Report." localSheetId="1" hidden="1">{"Roofs Page 1",#N/A,FALSE,"Roof Outline";"Roofs Page 2",#N/A,FALSE,"Roof Outline"}</definedName>
    <definedName name="wrn.Roof._.Report." localSheetId="4" hidden="1">{"Roofs Page 1",#N/A,FALSE,"Roof Outline";"Roofs Page 2",#N/A,FALSE,"Roof Outline"}</definedName>
    <definedName name="wrn.Roof._.Report." hidden="1">{"Roofs Page 1",#N/A,FALSE,"Roof Outline";"Roofs Page 2",#N/A,FALSE,"Roof Outline"}</definedName>
    <definedName name="wrn.Sales._.Information." localSheetId="5" hidden="1">{#N/A,#N/A,FALSE,"Cover Page";#N/A,#N/A,FALSE,"Table of Contents";#N/A,#N/A,FALSE,"Investment-Acquisition Costs";#N/A,#N/A,FALSE,"Financing Assumptions";#N/A,#N/A,FALSE,"Proforma Assumptions";#N/A,#N/A,FALSE,"Rent Roll";#N/A,#N/A,FALSE,"Taxes and Assessments"}</definedName>
    <definedName name="wrn.Sales._.Information." localSheetId="1" hidden="1">{#N/A,#N/A,FALSE,"Cover Page";#N/A,#N/A,FALSE,"Table of Contents";#N/A,#N/A,FALSE,"Investment-Acquisition Costs";#N/A,#N/A,FALSE,"Financing Assumptions";#N/A,#N/A,FALSE,"Proforma Assumptions";#N/A,#N/A,FALSE,"Rent Roll";#N/A,#N/A,FALSE,"Taxes and Assessments"}</definedName>
    <definedName name="wrn.Sales._.Information." localSheetId="4" hidden="1">{#N/A,#N/A,FALSE,"Cover Page";#N/A,#N/A,FALSE,"Table of Contents";#N/A,#N/A,FALSE,"Investment-Acquisition Costs";#N/A,#N/A,FALSE,"Financing Assumptions";#N/A,#N/A,FALSE,"Proforma Assumptions";#N/A,#N/A,FALSE,"Rent Roll";#N/A,#N/A,FALSE,"Taxes and Assessments"}</definedName>
    <definedName name="wrn.Sales._.Information." hidden="1">{#N/A,#N/A,FALSE,"Cover Page";#N/A,#N/A,FALSE,"Table of Contents";#N/A,#N/A,FALSE,"Investment-Acquisition Costs";#N/A,#N/A,FALSE,"Financing Assumptions";#N/A,#N/A,FALSE,"Proforma Assumptions";#N/A,#N/A,FALSE,"Rent Roll";#N/A,#N/A,FALSE,"Taxes and Assessments"}</definedName>
    <definedName name="wrn.Sales._.Package._.MPS._.01." localSheetId="5" hidden="1">{#N/A,#N/A,FALSE,"Cover Page";#N/A,#N/A,FALSE,"Table of Contents";#N/A,#N/A,FALSE,"Executive Summary";#N/A,#N/A,FALSE,"Investment-Acquisition Costs";#N/A,#N/A,FALSE,"Financing Assumptions";#N/A,#N/A,FALSE,"Rent Roll";#N/A,#N/A,FALSE,"Taxes and Assessments"}</definedName>
    <definedName name="wrn.Sales._.Package._.MPS._.01." localSheetId="1" hidden="1">{#N/A,#N/A,FALSE,"Cover Page";#N/A,#N/A,FALSE,"Table of Contents";#N/A,#N/A,FALSE,"Executive Summary";#N/A,#N/A,FALSE,"Investment-Acquisition Costs";#N/A,#N/A,FALSE,"Financing Assumptions";#N/A,#N/A,FALSE,"Rent Roll";#N/A,#N/A,FALSE,"Taxes and Assessments"}</definedName>
    <definedName name="wrn.Sales._.Package._.MPS._.01." localSheetId="4" hidden="1">{#N/A,#N/A,FALSE,"Cover Page";#N/A,#N/A,FALSE,"Table of Contents";#N/A,#N/A,FALSE,"Executive Summary";#N/A,#N/A,FALSE,"Investment-Acquisition Costs";#N/A,#N/A,FALSE,"Financing Assumptions";#N/A,#N/A,FALSE,"Rent Roll";#N/A,#N/A,FALSE,"Taxes and Assessments"}</definedName>
    <definedName name="wrn.Sales._.Package._.MPS._.01." hidden="1">{#N/A,#N/A,FALSE,"Cover Page";#N/A,#N/A,FALSE,"Table of Contents";#N/A,#N/A,FALSE,"Executive Summary";#N/A,#N/A,FALSE,"Investment-Acquisition Costs";#N/A,#N/A,FALSE,"Financing Assumptions";#N/A,#N/A,FALSE,"Rent Roll";#N/A,#N/A,FALSE,"Taxes and Assessments"}</definedName>
    <definedName name="wrn.SPG._.Estimate." localSheetId="5" hidden="1">{#N/A,#N/A,FALSE,"Detail";#N/A,#N/A,FALSE,"Totals"}</definedName>
    <definedName name="wrn.SPG._.Estimate." localSheetId="1" hidden="1">{#N/A,#N/A,FALSE,"Detail";#N/A,#N/A,FALSE,"Totals"}</definedName>
    <definedName name="wrn.SPG._.Estimate." localSheetId="4" hidden="1">{#N/A,#N/A,FALSE,"Detail";#N/A,#N/A,FALSE,"Totals"}</definedName>
    <definedName name="wrn.SPG._.Estimate." localSheetId="2" hidden="1">{#N/A,#N/A,FALSE,"Detail";#N/A,#N/A,FALSE,"Totals"}</definedName>
    <definedName name="wrn.SPG._.Estimate." hidden="1">{#N/A,#N/A,FALSE,"Detail";#N/A,#N/A,FALSE,"Totals"}</definedName>
    <definedName name="wrn.Template." localSheetId="5" hidden="1">{#N/A,#N/A,FALSE,"1_Executive Summary";#N/A,#N/A,FALSE,"2_Assumptions";#N/A,#N/A,FALSE,"3_Footnotes";#N/A,#N/A,FALSE,"4_Cash Flow";#N/A,#N/A,FALSE,"6_Residual - Marketing";#N/A,#N/A,FALSE,"7_Residual Matrix";#N/A,#N/A,FALSE,"8_Pricing Matrix";#N/A,#N/A,FALSE,"9_Value Matrix";#N/A,#N/A,FALSE,"10_Vacancy Detail";#N/A,#N/A,FALSE,"11_Basic Expiration"}</definedName>
    <definedName name="wrn.Template." localSheetId="1" hidden="1">{#N/A,#N/A,FALSE,"1_Executive Summary";#N/A,#N/A,FALSE,"2_Assumptions";#N/A,#N/A,FALSE,"3_Footnotes";#N/A,#N/A,FALSE,"4_Cash Flow";#N/A,#N/A,FALSE,"6_Residual - Marketing";#N/A,#N/A,FALSE,"7_Residual Matrix";#N/A,#N/A,FALSE,"8_Pricing Matrix";#N/A,#N/A,FALSE,"9_Value Matrix";#N/A,#N/A,FALSE,"10_Vacancy Detail";#N/A,#N/A,FALSE,"11_Basic Expiration"}</definedName>
    <definedName name="wrn.Template." localSheetId="4" hidden="1">{#N/A,#N/A,FALSE,"1_Executive Summary";#N/A,#N/A,FALSE,"2_Assumptions";#N/A,#N/A,FALSE,"3_Footnotes";#N/A,#N/A,FALSE,"4_Cash Flow";#N/A,#N/A,FALSE,"6_Residual - Marketing";#N/A,#N/A,FALSE,"7_Residual Matrix";#N/A,#N/A,FALSE,"8_Pricing Matrix";#N/A,#N/A,FALSE,"9_Value Matrix";#N/A,#N/A,FALSE,"10_Vacancy Detail";#N/A,#N/A,FALSE,"11_Basic Expiration"}</definedName>
    <definedName name="wrn.Template." hidden="1">{#N/A,#N/A,FALSE,"1_Executive Summary";#N/A,#N/A,FALSE,"2_Assumptions";#N/A,#N/A,FALSE,"3_Footnotes";#N/A,#N/A,FALSE,"4_Cash Flow";#N/A,#N/A,FALSE,"6_Residual - Marketing";#N/A,#N/A,FALSE,"7_Residual Matrix";#N/A,#N/A,FALSE,"8_Pricing Matrix";#N/A,#N/A,FALSE,"9_Value Matrix";#N/A,#N/A,FALSE,"10_Vacancy Detail";#N/A,#N/A,FALSE,"11_Basic Expiration"}</definedName>
    <definedName name="wrn.Underwriting." localSheetId="5" hidden="1">{#N/A,#N/A,FALSE,"proforma";#N/A,#N/A,FALSE,"loananalysis";#N/A,#N/A,FALSE,"unitmix"}</definedName>
    <definedName name="wrn.Underwriting." localSheetId="1" hidden="1">{#N/A,#N/A,FALSE,"proforma";#N/A,#N/A,FALSE,"loananalysis";#N/A,#N/A,FALSE,"unitmix"}</definedName>
    <definedName name="wrn.Underwriting." localSheetId="4" hidden="1">{#N/A,#N/A,FALSE,"proforma";#N/A,#N/A,FALSE,"loananalysis";#N/A,#N/A,FALSE,"unitmix"}</definedName>
    <definedName name="wrn.Underwriting." hidden="1">{#N/A,#N/A,FALSE,"proforma";#N/A,#N/A,FALSE,"loananalysis";#N/A,#N/A,FALSE,"unitmix"}</definedName>
    <definedName name="wrn.Yield._.Graph." localSheetId="5" hidden="1">{#N/A,#N/A,FALSE,"Yield Graph"}</definedName>
    <definedName name="wrn.Yield._.Graph." localSheetId="1" hidden="1">{#N/A,#N/A,FALSE,"Yield Graph"}</definedName>
    <definedName name="wrn.Yield._.Graph." localSheetId="4" hidden="1">{#N/A,#N/A,FALSE,"Yield Graph"}</definedName>
    <definedName name="wrn.Yield._.Graph." hidden="1">{#N/A,#N/A,FALSE,"Yield Graph"}</definedName>
    <definedName name="wrn.Yield._.Graph._.plus._.Input." localSheetId="5" hidden="1">{#N/A,#N/A,FALSE,"Yield Graph";#N/A,#N/A,FALSE,"Rent Roll";#N/A,#N/A,FALSE,"OE Yr1";#N/A,#N/A,FALSE,"Repl.Cst.+Ins."}</definedName>
    <definedName name="wrn.Yield._.Graph._.plus._.Input." localSheetId="1" hidden="1">{#N/A,#N/A,FALSE,"Yield Graph";#N/A,#N/A,FALSE,"Rent Roll";#N/A,#N/A,FALSE,"OE Yr1";#N/A,#N/A,FALSE,"Repl.Cst.+Ins."}</definedName>
    <definedName name="wrn.Yield._.Graph._.plus._.Input." localSheetId="4" hidden="1">{#N/A,#N/A,FALSE,"Yield Graph";#N/A,#N/A,FALSE,"Rent Roll";#N/A,#N/A,FALSE,"OE Yr1";#N/A,#N/A,FALSE,"Repl.Cst.+Ins."}</definedName>
    <definedName name="wrn.Yield._.Graph._.plus._.Input." hidden="1">{#N/A,#N/A,FALSE,"Yield Graph";#N/A,#N/A,FALSE,"Rent Roll";#N/A,#N/A,FALSE,"OE Yr1";#N/A,#N/A,FALSE,"Repl.Cst.+Ins."}</definedName>
    <definedName name="ww" localSheetId="5" hidden="1">{#N/A,#N/A,FALSE,"Garage Assumpt 1";#N/A,#N/A,FALSE,"Garage Op Proj";#N/A,#N/A,FALSE,"Hist I&amp;E";#N/A,#N/A,FALSE,"Garage Lease"}</definedName>
    <definedName name="ww" localSheetId="1" hidden="1">{#N/A,#N/A,FALSE,"Garage Assumpt 1";#N/A,#N/A,FALSE,"Garage Op Proj";#N/A,#N/A,FALSE,"Hist I&amp;E";#N/A,#N/A,FALSE,"Garage Lease"}</definedName>
    <definedName name="ww" localSheetId="4" hidden="1">{#N/A,#N/A,FALSE,"Garage Assumpt 1";#N/A,#N/A,FALSE,"Garage Op Proj";#N/A,#N/A,FALSE,"Hist I&amp;E";#N/A,#N/A,FALSE,"Garage Lease"}</definedName>
    <definedName name="ww" hidden="1">{#N/A,#N/A,FALSE,"Garage Assumpt 1";#N/A,#N/A,FALSE,"Garage Op Proj";#N/A,#N/A,FALSE,"Hist I&amp;E";#N/A,#N/A,FALSE,"Garage Lease"}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8" i="1" l="1"/>
  <c r="T55" i="1"/>
  <c r="T58" i="1"/>
  <c r="T61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D61" i="1"/>
  <c r="AF9" i="1" l="1"/>
  <c r="AF10" i="1"/>
  <c r="AF12" i="1" s="1"/>
  <c r="AF14" i="1"/>
  <c r="AF15" i="1"/>
  <c r="AF16" i="1"/>
  <c r="AF21" i="1"/>
  <c r="AF22" i="1"/>
  <c r="AF23" i="1"/>
  <c r="AF24" i="1"/>
  <c r="AF25" i="1"/>
  <c r="AC9" i="1"/>
  <c r="AC10" i="1"/>
  <c r="AC12" i="1" s="1"/>
  <c r="AD12" i="1" s="1"/>
  <c r="AP12" i="1" s="1"/>
  <c r="AC14" i="1"/>
  <c r="AC15" i="1"/>
  <c r="AC16" i="1"/>
  <c r="AC21" i="1"/>
  <c r="AC22" i="1"/>
  <c r="AC23" i="1"/>
  <c r="AC24" i="1"/>
  <c r="AC25" i="1"/>
  <c r="Z9" i="1"/>
  <c r="Z12" i="1" s="1"/>
  <c r="Z10" i="1"/>
  <c r="Z14" i="1"/>
  <c r="Z15" i="1"/>
  <c r="Z16" i="1"/>
  <c r="Z21" i="1"/>
  <c r="Z22" i="1"/>
  <c r="Z23" i="1"/>
  <c r="Z24" i="1"/>
  <c r="Z25" i="1"/>
  <c r="W9" i="1"/>
  <c r="W12" i="1" s="1"/>
  <c r="W10" i="1"/>
  <c r="T9" i="1"/>
  <c r="T12" i="1" s="1"/>
  <c r="T10" i="1"/>
  <c r="AF31" i="1"/>
  <c r="AF32" i="1"/>
  <c r="AF47" i="1" s="1"/>
  <c r="AF33" i="1"/>
  <c r="AG33" i="1" s="1"/>
  <c r="AR33" i="1" s="1"/>
  <c r="AF34" i="1"/>
  <c r="AG34" i="1" s="1"/>
  <c r="AR34" i="1" s="1"/>
  <c r="AF35" i="1"/>
  <c r="AF36" i="1"/>
  <c r="AF37" i="1"/>
  <c r="AG37" i="1" s="1"/>
  <c r="AF38" i="1"/>
  <c r="AG38" i="1" s="1"/>
  <c r="AF39" i="1"/>
  <c r="AF40" i="1"/>
  <c r="AF41" i="1"/>
  <c r="AG41" i="1" s="1"/>
  <c r="AR41" i="1" s="1"/>
  <c r="AF42" i="1"/>
  <c r="AG42" i="1" s="1"/>
  <c r="AR42" i="1" s="1"/>
  <c r="AF43" i="1"/>
  <c r="AF44" i="1"/>
  <c r="AF45" i="1"/>
  <c r="AG45" i="1" s="1"/>
  <c r="AR45" i="1" s="1"/>
  <c r="AF51" i="1"/>
  <c r="AF52" i="1"/>
  <c r="AF54" i="1" s="1"/>
  <c r="AG54" i="1" s="1"/>
  <c r="AC31" i="1"/>
  <c r="AC32" i="1"/>
  <c r="AC47" i="1" s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51" i="1"/>
  <c r="AC52" i="1"/>
  <c r="AC54" i="1" s="1"/>
  <c r="AD54" i="1" s="1"/>
  <c r="Z31" i="1"/>
  <c r="Z32" i="1"/>
  <c r="Z47" i="1" s="1"/>
  <c r="Z33" i="1"/>
  <c r="AA33" i="1" s="1"/>
  <c r="AN33" i="1" s="1"/>
  <c r="Z34" i="1"/>
  <c r="AA34" i="1" s="1"/>
  <c r="AN34" i="1" s="1"/>
  <c r="Z35" i="1"/>
  <c r="Z36" i="1"/>
  <c r="Z37" i="1"/>
  <c r="AA37" i="1" s="1"/>
  <c r="Z38" i="1"/>
  <c r="AA38" i="1" s="1"/>
  <c r="Z39" i="1"/>
  <c r="Z40" i="1"/>
  <c r="Z41" i="1"/>
  <c r="AA41" i="1" s="1"/>
  <c r="AN41" i="1" s="1"/>
  <c r="Z42" i="1"/>
  <c r="AA42" i="1" s="1"/>
  <c r="AN42" i="1" s="1"/>
  <c r="Z43" i="1"/>
  <c r="Z44" i="1"/>
  <c r="Z45" i="1"/>
  <c r="AA45" i="1" s="1"/>
  <c r="AN45" i="1" s="1"/>
  <c r="Z51" i="1"/>
  <c r="Z52" i="1"/>
  <c r="Z54" i="1" s="1"/>
  <c r="AA54" i="1" s="1"/>
  <c r="W31" i="1"/>
  <c r="W32" i="1"/>
  <c r="W47" i="1" s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51" i="1"/>
  <c r="W52" i="1"/>
  <c r="W54" i="1" s="1"/>
  <c r="X54" i="1" s="1"/>
  <c r="T31" i="1"/>
  <c r="T32" i="1"/>
  <c r="T47" i="1" s="1"/>
  <c r="T33" i="1"/>
  <c r="U33" i="1" s="1"/>
  <c r="T34" i="1"/>
  <c r="U34" i="1" s="1"/>
  <c r="T35" i="1"/>
  <c r="T36" i="1"/>
  <c r="T37" i="1"/>
  <c r="U37" i="1" s="1"/>
  <c r="T38" i="1"/>
  <c r="U38" i="1" s="1"/>
  <c r="T39" i="1"/>
  <c r="U39" i="1" s="1"/>
  <c r="T40" i="1"/>
  <c r="T41" i="1"/>
  <c r="U41" i="1" s="1"/>
  <c r="T42" i="1"/>
  <c r="U42" i="1" s="1"/>
  <c r="T43" i="1"/>
  <c r="U43" i="1" s="1"/>
  <c r="T44" i="1"/>
  <c r="T45" i="1"/>
  <c r="U45" i="1" s="1"/>
  <c r="T51" i="1"/>
  <c r="T54" i="1" s="1"/>
  <c r="U54" i="1" s="1"/>
  <c r="T52" i="1"/>
  <c r="E54" i="1"/>
  <c r="F54" i="1"/>
  <c r="G54" i="1"/>
  <c r="H54" i="1"/>
  <c r="I54" i="1"/>
  <c r="J54" i="1"/>
  <c r="K54" i="1"/>
  <c r="L54" i="1"/>
  <c r="M54" i="1"/>
  <c r="N54" i="1"/>
  <c r="O54" i="1"/>
  <c r="P54" i="1"/>
  <c r="Q54" i="1"/>
  <c r="R54" i="1"/>
  <c r="D54" i="1"/>
  <c r="E47" i="1"/>
  <c r="E57" i="1"/>
  <c r="F47" i="1"/>
  <c r="F57" i="1"/>
  <c r="G47" i="1"/>
  <c r="G57" i="1"/>
  <c r="H47" i="1"/>
  <c r="H57" i="1"/>
  <c r="I47" i="1"/>
  <c r="I57" i="1"/>
  <c r="J47" i="1"/>
  <c r="J57" i="1"/>
  <c r="K47" i="1"/>
  <c r="K57" i="1"/>
  <c r="L47" i="1"/>
  <c r="L57" i="1"/>
  <c r="M47" i="1"/>
  <c r="M57" i="1"/>
  <c r="N47" i="1"/>
  <c r="N57" i="1"/>
  <c r="O47" i="1"/>
  <c r="O57" i="1"/>
  <c r="P47" i="1"/>
  <c r="P57" i="1"/>
  <c r="Q47" i="1"/>
  <c r="Q57" i="1"/>
  <c r="R47" i="1"/>
  <c r="R57" i="1"/>
  <c r="D57" i="1"/>
  <c r="D47" i="1"/>
  <c r="AG32" i="1"/>
  <c r="AG35" i="1"/>
  <c r="AG36" i="1"/>
  <c r="AG39" i="1"/>
  <c r="AR39" i="1" s="1"/>
  <c r="AG40" i="1"/>
  <c r="AR40" i="1" s="1"/>
  <c r="AG43" i="1"/>
  <c r="AG44" i="1"/>
  <c r="AD32" i="1"/>
  <c r="AD33" i="1"/>
  <c r="AP33" i="1" s="1"/>
  <c r="AD34" i="1"/>
  <c r="AP34" i="1" s="1"/>
  <c r="AD35" i="1"/>
  <c r="AD36" i="1"/>
  <c r="AD37" i="1"/>
  <c r="AD38" i="1"/>
  <c r="AD39" i="1"/>
  <c r="AD40" i="1"/>
  <c r="AD41" i="1"/>
  <c r="AP41" i="1" s="1"/>
  <c r="AD42" i="1"/>
  <c r="AP42" i="1" s="1"/>
  <c r="AD43" i="1"/>
  <c r="AD44" i="1"/>
  <c r="AD45" i="1"/>
  <c r="AP45" i="1" s="1"/>
  <c r="AA32" i="1"/>
  <c r="AA35" i="1"/>
  <c r="AA36" i="1"/>
  <c r="AA39" i="1"/>
  <c r="AA40" i="1"/>
  <c r="AA43" i="1"/>
  <c r="AA44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U32" i="1"/>
  <c r="U35" i="1"/>
  <c r="U36" i="1"/>
  <c r="U40" i="1"/>
  <c r="U44" i="1"/>
  <c r="W14" i="1"/>
  <c r="W15" i="1"/>
  <c r="W16" i="1"/>
  <c r="T14" i="1"/>
  <c r="U14" i="1" s="1"/>
  <c r="T15" i="1"/>
  <c r="T16" i="1"/>
  <c r="E12" i="1"/>
  <c r="E18" i="1"/>
  <c r="F12" i="1"/>
  <c r="F18" i="1"/>
  <c r="G12" i="1"/>
  <c r="G18" i="1"/>
  <c r="H12" i="1"/>
  <c r="H18" i="1"/>
  <c r="I12" i="1"/>
  <c r="I18" i="1"/>
  <c r="J12" i="1"/>
  <c r="J18" i="1"/>
  <c r="K12" i="1"/>
  <c r="K18" i="1"/>
  <c r="L12" i="1"/>
  <c r="L18" i="1"/>
  <c r="M12" i="1"/>
  <c r="M18" i="1"/>
  <c r="N12" i="1"/>
  <c r="N18" i="1"/>
  <c r="O12" i="1"/>
  <c r="O18" i="1"/>
  <c r="P12" i="1"/>
  <c r="P18" i="1"/>
  <c r="Q12" i="1"/>
  <c r="Q18" i="1"/>
  <c r="R12" i="1"/>
  <c r="R18" i="1"/>
  <c r="D12" i="1"/>
  <c r="D18" i="1"/>
  <c r="E199" i="6"/>
  <c r="C199" i="6"/>
  <c r="AN5" i="1"/>
  <c r="AP5" i="1"/>
  <c r="AR5" i="1"/>
  <c r="AL21" i="1"/>
  <c r="AA21" i="1"/>
  <c r="AN21" i="1" s="1"/>
  <c r="AD21" i="1"/>
  <c r="AP21" i="1" s="1"/>
  <c r="AG21" i="1"/>
  <c r="AR21" i="1"/>
  <c r="AL22" i="1"/>
  <c r="AA22" i="1"/>
  <c r="AN22" i="1" s="1"/>
  <c r="AD22" i="1"/>
  <c r="AP22" i="1" s="1"/>
  <c r="AG22" i="1"/>
  <c r="AR22" i="1" s="1"/>
  <c r="AL23" i="1"/>
  <c r="AA23" i="1"/>
  <c r="AN23" i="1" s="1"/>
  <c r="AD23" i="1"/>
  <c r="AP23" i="1" s="1"/>
  <c r="AG23" i="1"/>
  <c r="AR23" i="1"/>
  <c r="AL24" i="1"/>
  <c r="AA24" i="1"/>
  <c r="AN24" i="1" s="1"/>
  <c r="AD24" i="1"/>
  <c r="AP24" i="1" s="1"/>
  <c r="AG24" i="1"/>
  <c r="AR24" i="1" s="1"/>
  <c r="AL31" i="1"/>
  <c r="AA31" i="1"/>
  <c r="AN31" i="1" s="1"/>
  <c r="AD31" i="1"/>
  <c r="AP31" i="1" s="1"/>
  <c r="AG31" i="1"/>
  <c r="AR31" i="1" s="1"/>
  <c r="AL33" i="1"/>
  <c r="AL34" i="1"/>
  <c r="AL39" i="1"/>
  <c r="AN39" i="1"/>
  <c r="AP39" i="1"/>
  <c r="AL40" i="1"/>
  <c r="AN40" i="1"/>
  <c r="AP40" i="1"/>
  <c r="AL41" i="1"/>
  <c r="AL42" i="1"/>
  <c r="AL43" i="1"/>
  <c r="AN43" i="1"/>
  <c r="AP43" i="1"/>
  <c r="AR43" i="1"/>
  <c r="AL45" i="1"/>
  <c r="Z50" i="1"/>
  <c r="AA50" i="1"/>
  <c r="AN50" i="1"/>
  <c r="AC50" i="1"/>
  <c r="AD50" i="1"/>
  <c r="AP50" i="1" s="1"/>
  <c r="AF50" i="1"/>
  <c r="AG50" i="1"/>
  <c r="AR50" i="1"/>
  <c r="AL51" i="1"/>
  <c r="AA51" i="1"/>
  <c r="AN51" i="1" s="1"/>
  <c r="AD51" i="1"/>
  <c r="AP51" i="1" s="1"/>
  <c r="AG51" i="1"/>
  <c r="AR51" i="1" s="1"/>
  <c r="AL52" i="1"/>
  <c r="AA52" i="1"/>
  <c r="AN52" i="1" s="1"/>
  <c r="AD52" i="1"/>
  <c r="AP52" i="1"/>
  <c r="AG52" i="1"/>
  <c r="AR52" i="1" s="1"/>
  <c r="AL64" i="1"/>
  <c r="D73" i="3" s="1"/>
  <c r="E73" i="3" s="1"/>
  <c r="F73" i="3" s="1"/>
  <c r="G73" i="3" s="1"/>
  <c r="H73" i="3" s="1"/>
  <c r="I73" i="3" s="1"/>
  <c r="J73" i="3" s="1"/>
  <c r="K73" i="3" s="1"/>
  <c r="L73" i="3" s="1"/>
  <c r="M73" i="3" s="1"/>
  <c r="N73" i="3" s="1"/>
  <c r="C17" i="3"/>
  <c r="R5" i="1" s="1"/>
  <c r="Q5" i="1" s="1"/>
  <c r="P5" i="1" s="1"/>
  <c r="O5" i="1" s="1"/>
  <c r="N5" i="1" s="1"/>
  <c r="M5" i="1" s="1"/>
  <c r="L5" i="1" s="1"/>
  <c r="K5" i="1" s="1"/>
  <c r="J5" i="1" s="1"/>
  <c r="I5" i="1" s="1"/>
  <c r="H5" i="1" s="1"/>
  <c r="G5" i="1" s="1"/>
  <c r="F5" i="1" s="1"/>
  <c r="E5" i="1" s="1"/>
  <c r="D5" i="1" s="1"/>
  <c r="D17" i="3"/>
  <c r="E17" i="3" s="1"/>
  <c r="W50" i="1"/>
  <c r="X50" i="1"/>
  <c r="T50" i="1"/>
  <c r="U50" i="1"/>
  <c r="H130" i="6"/>
  <c r="D46" i="3"/>
  <c r="N119" i="6"/>
  <c r="O119" i="6"/>
  <c r="N160" i="6"/>
  <c r="O160" i="6"/>
  <c r="N75" i="6"/>
  <c r="O75" i="6"/>
  <c r="N94" i="6"/>
  <c r="O94" i="6"/>
  <c r="N143" i="6"/>
  <c r="O143" i="6"/>
  <c r="N81" i="6"/>
  <c r="O81" i="6"/>
  <c r="N12" i="6"/>
  <c r="O12" i="6"/>
  <c r="N152" i="6"/>
  <c r="O152" i="6"/>
  <c r="N34" i="6"/>
  <c r="O34" i="6"/>
  <c r="N109" i="6"/>
  <c r="O109" i="6"/>
  <c r="N150" i="6"/>
  <c r="O150" i="6"/>
  <c r="N46" i="6"/>
  <c r="O46" i="6"/>
  <c r="N132" i="6"/>
  <c r="O132" i="6"/>
  <c r="N67" i="6"/>
  <c r="O67" i="6"/>
  <c r="N61" i="6"/>
  <c r="O61" i="6"/>
  <c r="N153" i="6"/>
  <c r="O153" i="6"/>
  <c r="N33" i="6"/>
  <c r="O33" i="6"/>
  <c r="N56" i="6"/>
  <c r="O56" i="6"/>
  <c r="N24" i="6"/>
  <c r="O24" i="6"/>
  <c r="N99" i="6"/>
  <c r="O99" i="6"/>
  <c r="N25" i="6"/>
  <c r="O25" i="6"/>
  <c r="N44" i="6"/>
  <c r="O44" i="6"/>
  <c r="N23" i="6"/>
  <c r="O23" i="6"/>
  <c r="N55" i="6"/>
  <c r="O55" i="6"/>
  <c r="N74" i="6"/>
  <c r="O74" i="6"/>
  <c r="N15" i="6"/>
  <c r="O15" i="6"/>
  <c r="N76" i="6"/>
  <c r="O76" i="6"/>
  <c r="N157" i="6"/>
  <c r="O157" i="6"/>
  <c r="N118" i="6"/>
  <c r="O118" i="6"/>
  <c r="N106" i="6"/>
  <c r="O106" i="6"/>
  <c r="N138" i="6"/>
  <c r="O138" i="6"/>
  <c r="N139" i="6"/>
  <c r="O139" i="6"/>
  <c r="N45" i="6"/>
  <c r="O45" i="6"/>
  <c r="N121" i="6"/>
  <c r="O121" i="6"/>
  <c r="N26" i="6"/>
  <c r="O26" i="6"/>
  <c r="N93" i="6"/>
  <c r="O93" i="6"/>
  <c r="N95" i="6"/>
  <c r="O95" i="6"/>
  <c r="N127" i="6"/>
  <c r="O127" i="6"/>
  <c r="N97" i="6"/>
  <c r="O97" i="6"/>
  <c r="N100" i="6"/>
  <c r="O100" i="6"/>
  <c r="N123" i="6"/>
  <c r="O123" i="6"/>
  <c r="N144" i="6"/>
  <c r="O144" i="6"/>
  <c r="N113" i="6"/>
  <c r="O113" i="6"/>
  <c r="N27" i="6"/>
  <c r="O27" i="6"/>
  <c r="N49" i="6"/>
  <c r="O49" i="6"/>
  <c r="N11" i="6"/>
  <c r="O11" i="6"/>
  <c r="N59" i="6"/>
  <c r="O59" i="6"/>
  <c r="N53" i="6"/>
  <c r="O53" i="6"/>
  <c r="N141" i="6"/>
  <c r="O141" i="6"/>
  <c r="N28" i="6"/>
  <c r="O28" i="6"/>
  <c r="N47" i="6"/>
  <c r="O47" i="6"/>
  <c r="N116" i="6"/>
  <c r="O116" i="6"/>
  <c r="N62" i="6"/>
  <c r="O62" i="6"/>
  <c r="N29" i="6"/>
  <c r="O29" i="6"/>
  <c r="N66" i="6"/>
  <c r="O66" i="6"/>
  <c r="N68" i="6"/>
  <c r="O68" i="6"/>
  <c r="N154" i="6"/>
  <c r="O154" i="6"/>
  <c r="N10" i="6"/>
  <c r="O10" i="6"/>
  <c r="N17" i="6"/>
  <c r="O17" i="6"/>
  <c r="N151" i="6"/>
  <c r="O151" i="6"/>
  <c r="N146" i="6"/>
  <c r="O146" i="6"/>
  <c r="N78" i="6"/>
  <c r="O78" i="6"/>
  <c r="N57" i="6"/>
  <c r="O57" i="6"/>
  <c r="N16" i="6"/>
  <c r="O16" i="6"/>
  <c r="N60" i="6"/>
  <c r="O60" i="6"/>
  <c r="N115" i="6"/>
  <c r="O115" i="6"/>
  <c r="N32" i="6"/>
  <c r="O32" i="6"/>
  <c r="N87" i="6"/>
  <c r="O87" i="6"/>
  <c r="N18" i="6"/>
  <c r="O18" i="6"/>
  <c r="N80" i="6"/>
  <c r="O80" i="6"/>
  <c r="N35" i="6"/>
  <c r="O35" i="6"/>
  <c r="N120" i="6"/>
  <c r="O120" i="6"/>
  <c r="N21" i="6"/>
  <c r="O21" i="6"/>
  <c r="N58" i="6"/>
  <c r="O58" i="6"/>
  <c r="N83" i="6"/>
  <c r="O83" i="6"/>
  <c r="N147" i="6"/>
  <c r="O147" i="6"/>
  <c r="N164" i="6"/>
  <c r="O164" i="6"/>
  <c r="N82" i="6"/>
  <c r="O82" i="6"/>
  <c r="N156" i="6"/>
  <c r="O156" i="6"/>
  <c r="N98" i="6"/>
  <c r="O98" i="6"/>
  <c r="N91" i="6"/>
  <c r="O91" i="6"/>
  <c r="N129" i="6"/>
  <c r="O129" i="6"/>
  <c r="N52" i="6"/>
  <c r="O52" i="6"/>
  <c r="N148" i="6"/>
  <c r="O148" i="6"/>
  <c r="N31" i="6"/>
  <c r="O31" i="6"/>
  <c r="N64" i="6"/>
  <c r="O64" i="6"/>
  <c r="N13" i="6"/>
  <c r="O13" i="6"/>
  <c r="N77" i="6"/>
  <c r="O77" i="6"/>
  <c r="N117" i="6"/>
  <c r="O117" i="6"/>
  <c r="N108" i="6"/>
  <c r="O108" i="6"/>
  <c r="N114" i="6"/>
  <c r="O114" i="6"/>
  <c r="N155" i="6"/>
  <c r="O155" i="6"/>
  <c r="N126" i="6"/>
  <c r="O126" i="6"/>
  <c r="N92" i="6"/>
  <c r="O92" i="6"/>
  <c r="N90" i="6"/>
  <c r="O90" i="6"/>
  <c r="N86" i="6"/>
  <c r="O86" i="6"/>
  <c r="N43" i="6"/>
  <c r="O43" i="6"/>
  <c r="N30" i="6"/>
  <c r="O30" i="6"/>
  <c r="N159" i="6"/>
  <c r="O159" i="6"/>
  <c r="N107" i="6"/>
  <c r="O107" i="6"/>
  <c r="N88" i="6"/>
  <c r="O88" i="6"/>
  <c r="N85" i="6"/>
  <c r="O85" i="6"/>
  <c r="N131" i="6"/>
  <c r="O131" i="6"/>
  <c r="N36" i="6"/>
  <c r="O36" i="6"/>
  <c r="N20" i="6"/>
  <c r="O20" i="6"/>
  <c r="N63" i="6"/>
  <c r="O63" i="6"/>
  <c r="N124" i="6"/>
  <c r="O124" i="6"/>
  <c r="N158" i="6"/>
  <c r="O158" i="6"/>
  <c r="N37" i="6"/>
  <c r="O37" i="6"/>
  <c r="N163" i="6"/>
  <c r="O163" i="6"/>
  <c r="N42" i="6"/>
  <c r="O42" i="6"/>
  <c r="N112" i="6"/>
  <c r="O112" i="6"/>
  <c r="N162" i="6"/>
  <c r="O162" i="6"/>
  <c r="N14" i="6"/>
  <c r="O14" i="6"/>
  <c r="N65" i="6"/>
  <c r="O65" i="6"/>
  <c r="N145" i="6"/>
  <c r="O145" i="6"/>
  <c r="N122" i="6"/>
  <c r="O122" i="6"/>
  <c r="N110" i="6"/>
  <c r="O110" i="6"/>
  <c r="N149" i="6"/>
  <c r="O149" i="6"/>
  <c r="N19" i="6"/>
  <c r="O19" i="6"/>
  <c r="N96" i="6"/>
  <c r="O96" i="6"/>
  <c r="N79" i="6"/>
  <c r="O79" i="6"/>
  <c r="N84" i="6"/>
  <c r="O84" i="6"/>
  <c r="N54" i="6"/>
  <c r="O54" i="6"/>
  <c r="N161" i="6"/>
  <c r="O161" i="6"/>
  <c r="N125" i="6"/>
  <c r="O125" i="6"/>
  <c r="N111" i="6"/>
  <c r="O111" i="6"/>
  <c r="N50" i="6"/>
  <c r="O50" i="6"/>
  <c r="N89" i="6"/>
  <c r="O89" i="6"/>
  <c r="N51" i="6"/>
  <c r="O51" i="6"/>
  <c r="N22" i="6"/>
  <c r="O22" i="6"/>
  <c r="N140" i="6"/>
  <c r="O140" i="6"/>
  <c r="N142" i="6"/>
  <c r="O142" i="6"/>
  <c r="N48" i="6"/>
  <c r="O48" i="6"/>
  <c r="N128" i="6"/>
  <c r="O128" i="6"/>
  <c r="N130" i="6"/>
  <c r="O130" i="6"/>
  <c r="N69" i="6"/>
  <c r="O69" i="6"/>
  <c r="N101" i="6"/>
  <c r="O101" i="6"/>
  <c r="N133" i="6"/>
  <c r="O133" i="6"/>
  <c r="N165" i="6"/>
  <c r="O165" i="6"/>
  <c r="N38" i="6"/>
  <c r="O38" i="6"/>
  <c r="N70" i="6"/>
  <c r="O70" i="6"/>
  <c r="N102" i="6"/>
  <c r="O102" i="6"/>
  <c r="N134" i="6"/>
  <c r="O134" i="6"/>
  <c r="N166" i="6"/>
  <c r="O166" i="6"/>
  <c r="N39" i="6"/>
  <c r="O39" i="6"/>
  <c r="N71" i="6"/>
  <c r="O71" i="6"/>
  <c r="N103" i="6"/>
  <c r="O103" i="6"/>
  <c r="N135" i="6"/>
  <c r="O135" i="6"/>
  <c r="N167" i="6"/>
  <c r="O167" i="6"/>
  <c r="N40" i="6"/>
  <c r="O40" i="6"/>
  <c r="N72" i="6"/>
  <c r="O72" i="6"/>
  <c r="N104" i="6"/>
  <c r="O104" i="6"/>
  <c r="N136" i="6"/>
  <c r="O136" i="6"/>
  <c r="N168" i="6"/>
  <c r="O168" i="6"/>
  <c r="N41" i="6"/>
  <c r="O41" i="6"/>
  <c r="N73" i="6"/>
  <c r="O73" i="6"/>
  <c r="N105" i="6"/>
  <c r="O105" i="6"/>
  <c r="N137" i="6"/>
  <c r="O137" i="6"/>
  <c r="N169" i="6"/>
  <c r="O169" i="6"/>
  <c r="N170" i="6"/>
  <c r="O170" i="6"/>
  <c r="N171" i="6"/>
  <c r="O171" i="6"/>
  <c r="N172" i="6"/>
  <c r="O172" i="6"/>
  <c r="N173" i="6"/>
  <c r="O173" i="6"/>
  <c r="N174" i="6"/>
  <c r="O174" i="6"/>
  <c r="N175" i="6"/>
  <c r="O175" i="6"/>
  <c r="N176" i="6"/>
  <c r="O176" i="6"/>
  <c r="N177" i="6"/>
  <c r="O177" i="6"/>
  <c r="N178" i="6"/>
  <c r="O178" i="6"/>
  <c r="N179" i="6"/>
  <c r="O179" i="6"/>
  <c r="N180" i="6"/>
  <c r="O180" i="6"/>
  <c r="N181" i="6"/>
  <c r="O181" i="6"/>
  <c r="N182" i="6"/>
  <c r="O182" i="6"/>
  <c r="N183" i="6"/>
  <c r="O183" i="6"/>
  <c r="N184" i="6"/>
  <c r="O184" i="6"/>
  <c r="N185" i="6"/>
  <c r="O185" i="6"/>
  <c r="N186" i="6"/>
  <c r="O186" i="6"/>
  <c r="N187" i="6"/>
  <c r="O187" i="6"/>
  <c r="N188" i="6"/>
  <c r="O188" i="6"/>
  <c r="N189" i="6"/>
  <c r="O189" i="6"/>
  <c r="N190" i="6"/>
  <c r="O190" i="6"/>
  <c r="N191" i="6"/>
  <c r="O191" i="6"/>
  <c r="N192" i="6"/>
  <c r="O192" i="6"/>
  <c r="N193" i="6"/>
  <c r="O193" i="6"/>
  <c r="N194" i="6"/>
  <c r="O194" i="6"/>
  <c r="N195" i="6"/>
  <c r="O195" i="6"/>
  <c r="N196" i="6"/>
  <c r="O196" i="6"/>
  <c r="N197" i="6"/>
  <c r="O197" i="6"/>
  <c r="N199" i="6"/>
  <c r="J11" i="8"/>
  <c r="L133" i="6"/>
  <c r="M133" i="6"/>
  <c r="L165" i="6"/>
  <c r="M165" i="6"/>
  <c r="L38" i="6"/>
  <c r="M38" i="6"/>
  <c r="L70" i="6"/>
  <c r="M70" i="6"/>
  <c r="L102" i="6"/>
  <c r="M102" i="6"/>
  <c r="L134" i="6"/>
  <c r="M134" i="6"/>
  <c r="L166" i="6"/>
  <c r="M166" i="6"/>
  <c r="L39" i="6"/>
  <c r="M39" i="6"/>
  <c r="L71" i="6"/>
  <c r="M71" i="6"/>
  <c r="L103" i="6"/>
  <c r="M103" i="6"/>
  <c r="L135" i="6"/>
  <c r="M135" i="6"/>
  <c r="L167" i="6"/>
  <c r="M167" i="6"/>
  <c r="L40" i="6"/>
  <c r="M40" i="6"/>
  <c r="L72" i="6"/>
  <c r="M72" i="6"/>
  <c r="L104" i="6"/>
  <c r="M104" i="6"/>
  <c r="L136" i="6"/>
  <c r="M136" i="6"/>
  <c r="L168" i="6"/>
  <c r="M168" i="6"/>
  <c r="L41" i="6"/>
  <c r="M41" i="6"/>
  <c r="L73" i="6"/>
  <c r="M73" i="6"/>
  <c r="L105" i="6"/>
  <c r="M105" i="6"/>
  <c r="L137" i="6"/>
  <c r="M137" i="6"/>
  <c r="L169" i="6"/>
  <c r="M169" i="6"/>
  <c r="L170" i="6"/>
  <c r="M170" i="6"/>
  <c r="L171" i="6"/>
  <c r="M171" i="6"/>
  <c r="L172" i="6"/>
  <c r="M172" i="6"/>
  <c r="L173" i="6"/>
  <c r="M173" i="6"/>
  <c r="L174" i="6"/>
  <c r="M174" i="6"/>
  <c r="L175" i="6"/>
  <c r="M175" i="6"/>
  <c r="L176" i="6"/>
  <c r="M176" i="6"/>
  <c r="L177" i="6"/>
  <c r="M177" i="6"/>
  <c r="L178" i="6"/>
  <c r="M178" i="6"/>
  <c r="L179" i="6"/>
  <c r="M179" i="6"/>
  <c r="L180" i="6"/>
  <c r="M180" i="6"/>
  <c r="L181" i="6"/>
  <c r="M181" i="6"/>
  <c r="L182" i="6"/>
  <c r="M182" i="6"/>
  <c r="L183" i="6"/>
  <c r="M183" i="6"/>
  <c r="L184" i="6"/>
  <c r="M184" i="6"/>
  <c r="L185" i="6"/>
  <c r="M185" i="6"/>
  <c r="L186" i="6"/>
  <c r="M186" i="6"/>
  <c r="L187" i="6"/>
  <c r="M187" i="6"/>
  <c r="L188" i="6"/>
  <c r="M188" i="6"/>
  <c r="L189" i="6"/>
  <c r="M189" i="6"/>
  <c r="L190" i="6"/>
  <c r="M190" i="6"/>
  <c r="L191" i="6"/>
  <c r="M191" i="6"/>
  <c r="L192" i="6"/>
  <c r="M192" i="6"/>
  <c r="L193" i="6"/>
  <c r="M193" i="6"/>
  <c r="L194" i="6"/>
  <c r="M194" i="6"/>
  <c r="H133" i="6"/>
  <c r="I133" i="6" s="1"/>
  <c r="H165" i="6"/>
  <c r="I165" i="6"/>
  <c r="H38" i="6"/>
  <c r="I38" i="6" s="1"/>
  <c r="H70" i="6"/>
  <c r="I70" i="6" s="1"/>
  <c r="H102" i="6"/>
  <c r="I102" i="6" s="1"/>
  <c r="H134" i="6"/>
  <c r="I134" i="6"/>
  <c r="H166" i="6"/>
  <c r="I166" i="6" s="1"/>
  <c r="H39" i="6"/>
  <c r="I39" i="6" s="1"/>
  <c r="H71" i="6"/>
  <c r="I71" i="6" s="1"/>
  <c r="H103" i="6"/>
  <c r="I103" i="6"/>
  <c r="H135" i="6"/>
  <c r="I135" i="6" s="1"/>
  <c r="H167" i="6"/>
  <c r="I167" i="6" s="1"/>
  <c r="H40" i="6"/>
  <c r="I40" i="6" s="1"/>
  <c r="H72" i="6"/>
  <c r="I72" i="6"/>
  <c r="H104" i="6"/>
  <c r="I104" i="6" s="1"/>
  <c r="H136" i="6"/>
  <c r="I136" i="6" s="1"/>
  <c r="H168" i="6"/>
  <c r="I168" i="6" s="1"/>
  <c r="H41" i="6"/>
  <c r="I41" i="6"/>
  <c r="H73" i="6"/>
  <c r="I73" i="6" s="1"/>
  <c r="H105" i="6"/>
  <c r="I105" i="6" s="1"/>
  <c r="H137" i="6"/>
  <c r="I137" i="6" s="1"/>
  <c r="H169" i="6"/>
  <c r="I169" i="6"/>
  <c r="H170" i="6"/>
  <c r="I170" i="6" s="1"/>
  <c r="H171" i="6"/>
  <c r="I171" i="6" s="1"/>
  <c r="H172" i="6"/>
  <c r="I172" i="6" s="1"/>
  <c r="H173" i="6"/>
  <c r="I173" i="6"/>
  <c r="H174" i="6"/>
  <c r="I174" i="6" s="1"/>
  <c r="H175" i="6"/>
  <c r="I175" i="6" s="1"/>
  <c r="H176" i="6"/>
  <c r="I176" i="6" s="1"/>
  <c r="H177" i="6"/>
  <c r="I177" i="6"/>
  <c r="H178" i="6"/>
  <c r="I178" i="6" s="1"/>
  <c r="H179" i="6"/>
  <c r="I179" i="6" s="1"/>
  <c r="H180" i="6"/>
  <c r="I180" i="6" s="1"/>
  <c r="H181" i="6"/>
  <c r="I181" i="6"/>
  <c r="H182" i="6"/>
  <c r="I182" i="6" s="1"/>
  <c r="H183" i="6"/>
  <c r="I183" i="6" s="1"/>
  <c r="H184" i="6"/>
  <c r="I184" i="6" s="1"/>
  <c r="H185" i="6"/>
  <c r="I185" i="6"/>
  <c r="H186" i="6"/>
  <c r="I186" i="6" s="1"/>
  <c r="H187" i="6"/>
  <c r="I187" i="6" s="1"/>
  <c r="H188" i="6"/>
  <c r="I188" i="6" s="1"/>
  <c r="H189" i="6"/>
  <c r="I189" i="6"/>
  <c r="H190" i="6"/>
  <c r="I190" i="6" s="1"/>
  <c r="H191" i="6"/>
  <c r="I191" i="6" s="1"/>
  <c r="H192" i="6"/>
  <c r="I192" i="6" s="1"/>
  <c r="H193" i="6"/>
  <c r="I193" i="6"/>
  <c r="H194" i="6"/>
  <c r="I194" i="6" s="1"/>
  <c r="B17" i="7"/>
  <c r="B18" i="7"/>
  <c r="B16" i="7"/>
  <c r="H25" i="7"/>
  <c r="I25" i="7"/>
  <c r="E15" i="5"/>
  <c r="F15" i="5"/>
  <c r="D15" i="5"/>
  <c r="E13" i="5"/>
  <c r="F13" i="5"/>
  <c r="D13" i="5"/>
  <c r="C4" i="3"/>
  <c r="C7" i="3" s="1"/>
  <c r="G7" i="3" s="1"/>
  <c r="B55" i="5"/>
  <c r="B54" i="5"/>
  <c r="B47" i="5"/>
  <c r="B46" i="5"/>
  <c r="B39" i="5"/>
  <c r="B38" i="5"/>
  <c r="B29" i="5"/>
  <c r="B28" i="5"/>
  <c r="D24" i="5"/>
  <c r="D32" i="5"/>
  <c r="E24" i="5"/>
  <c r="E32" i="5"/>
  <c r="F24" i="5"/>
  <c r="F32" i="5"/>
  <c r="G24" i="5"/>
  <c r="G32" i="5"/>
  <c r="H24" i="5"/>
  <c r="H32" i="5"/>
  <c r="I24" i="5"/>
  <c r="I32" i="5"/>
  <c r="J24" i="5"/>
  <c r="J32" i="5"/>
  <c r="K24" i="5"/>
  <c r="K32" i="5"/>
  <c r="L24" i="5"/>
  <c r="L32" i="5"/>
  <c r="M24" i="5"/>
  <c r="M32" i="5"/>
  <c r="C24" i="5"/>
  <c r="C32" i="5"/>
  <c r="C28" i="3"/>
  <c r="B112" i="3"/>
  <c r="E8" i="3"/>
  <c r="E14" i="3" s="1"/>
  <c r="F8" i="3"/>
  <c r="B19" i="7"/>
  <c r="F23" i="3"/>
  <c r="E23" i="3"/>
  <c r="D23" i="3"/>
  <c r="C23" i="3"/>
  <c r="B20" i="7"/>
  <c r="D4" i="6"/>
  <c r="B2" i="1"/>
  <c r="B3" i="8"/>
  <c r="L5" i="7"/>
  <c r="L4" i="7" s="1"/>
  <c r="B21" i="7"/>
  <c r="D63" i="3"/>
  <c r="E63" i="3" s="1"/>
  <c r="F63" i="3" s="1"/>
  <c r="G63" i="3" s="1"/>
  <c r="H63" i="3" s="1"/>
  <c r="I63" i="3" s="1"/>
  <c r="J63" i="3" s="1"/>
  <c r="K63" i="3" s="1"/>
  <c r="L63" i="3" s="1"/>
  <c r="M63" i="3" s="1"/>
  <c r="N63" i="3" s="1"/>
  <c r="D64" i="3"/>
  <c r="E64" i="3" s="1"/>
  <c r="F64" i="3" s="1"/>
  <c r="G64" i="3" s="1"/>
  <c r="H64" i="3" s="1"/>
  <c r="I64" i="3" s="1"/>
  <c r="J64" i="3" s="1"/>
  <c r="K64" i="3" s="1"/>
  <c r="L64" i="3" s="1"/>
  <c r="M64" i="3" s="1"/>
  <c r="N64" i="3" s="1"/>
  <c r="B22" i="7"/>
  <c r="B23" i="7"/>
  <c r="B24" i="7"/>
  <c r="B25" i="7"/>
  <c r="C7" i="7"/>
  <c r="C8" i="7"/>
  <c r="C5" i="7"/>
  <c r="C6" i="7" s="1"/>
  <c r="I4" i="7"/>
  <c r="D25" i="7" s="1"/>
  <c r="H16" i="7"/>
  <c r="I16" i="7"/>
  <c r="L6" i="7"/>
  <c r="K199" i="6"/>
  <c r="J199" i="6"/>
  <c r="M197" i="6"/>
  <c r="L197" i="6"/>
  <c r="H197" i="6"/>
  <c r="I197" i="6"/>
  <c r="A197" i="6"/>
  <c r="M196" i="6"/>
  <c r="L196" i="6"/>
  <c r="H196" i="6"/>
  <c r="I196" i="6" s="1"/>
  <c r="A196" i="6"/>
  <c r="M195" i="6"/>
  <c r="L195" i="6"/>
  <c r="H195" i="6"/>
  <c r="I195" i="6" s="1"/>
  <c r="A195" i="6"/>
  <c r="A194" i="6"/>
  <c r="M101" i="6"/>
  <c r="L101" i="6"/>
  <c r="H101" i="6"/>
  <c r="I101" i="6"/>
  <c r="M69" i="6"/>
  <c r="L69" i="6"/>
  <c r="H69" i="6"/>
  <c r="I69" i="6"/>
  <c r="M48" i="6"/>
  <c r="L48" i="6"/>
  <c r="H48" i="6"/>
  <c r="I48" i="6"/>
  <c r="M128" i="6"/>
  <c r="L128" i="6"/>
  <c r="H128" i="6"/>
  <c r="I128" i="6"/>
  <c r="M142" i="6"/>
  <c r="L142" i="6"/>
  <c r="H142" i="6"/>
  <c r="I142" i="6"/>
  <c r="M119" i="6"/>
  <c r="L119" i="6"/>
  <c r="H119" i="6"/>
  <c r="I119" i="6"/>
  <c r="M160" i="6"/>
  <c r="L160" i="6"/>
  <c r="H160" i="6"/>
  <c r="I160" i="6"/>
  <c r="M75" i="6"/>
  <c r="L75" i="6"/>
  <c r="H75" i="6"/>
  <c r="I75" i="6"/>
  <c r="M94" i="6"/>
  <c r="L94" i="6"/>
  <c r="H94" i="6"/>
  <c r="I94" i="6"/>
  <c r="M143" i="6"/>
  <c r="L143" i="6"/>
  <c r="H143" i="6"/>
  <c r="I143" i="6"/>
  <c r="M81" i="6"/>
  <c r="L81" i="6"/>
  <c r="H81" i="6"/>
  <c r="I81" i="6"/>
  <c r="M12" i="6"/>
  <c r="L12" i="6"/>
  <c r="H12" i="6"/>
  <c r="I12" i="6"/>
  <c r="M152" i="6"/>
  <c r="L152" i="6"/>
  <c r="H152" i="6"/>
  <c r="I152" i="6"/>
  <c r="M34" i="6"/>
  <c r="L34" i="6"/>
  <c r="H34" i="6"/>
  <c r="I34" i="6"/>
  <c r="M109" i="6"/>
  <c r="L109" i="6"/>
  <c r="H109" i="6"/>
  <c r="I109" i="6"/>
  <c r="M150" i="6"/>
  <c r="L150" i="6"/>
  <c r="H150" i="6"/>
  <c r="I150" i="6"/>
  <c r="M46" i="6"/>
  <c r="L46" i="6"/>
  <c r="H46" i="6"/>
  <c r="I46" i="6"/>
  <c r="M132" i="6"/>
  <c r="L132" i="6"/>
  <c r="H132" i="6"/>
  <c r="I132" i="6"/>
  <c r="M67" i="6"/>
  <c r="L67" i="6"/>
  <c r="H67" i="6"/>
  <c r="I67" i="6"/>
  <c r="M61" i="6"/>
  <c r="L61" i="6"/>
  <c r="H61" i="6"/>
  <c r="I61" i="6"/>
  <c r="M33" i="6"/>
  <c r="L33" i="6"/>
  <c r="H33" i="6"/>
  <c r="I33" i="6"/>
  <c r="M153" i="6"/>
  <c r="L153" i="6"/>
  <c r="H153" i="6"/>
  <c r="I153" i="6"/>
  <c r="M56" i="6"/>
  <c r="L56" i="6"/>
  <c r="H56" i="6"/>
  <c r="I56" i="6"/>
  <c r="M99" i="6"/>
  <c r="L99" i="6"/>
  <c r="H99" i="6"/>
  <c r="I99" i="6"/>
  <c r="M24" i="6"/>
  <c r="L24" i="6"/>
  <c r="H24" i="6"/>
  <c r="I24" i="6"/>
  <c r="M25" i="6"/>
  <c r="L25" i="6"/>
  <c r="H25" i="6"/>
  <c r="I25" i="6"/>
  <c r="M44" i="6"/>
  <c r="L44" i="6"/>
  <c r="H44" i="6"/>
  <c r="I44" i="6"/>
  <c r="M55" i="6"/>
  <c r="L55" i="6"/>
  <c r="H55" i="6"/>
  <c r="I55" i="6"/>
  <c r="M23" i="6"/>
  <c r="L23" i="6"/>
  <c r="H23" i="6"/>
  <c r="I23" i="6"/>
  <c r="M74" i="6"/>
  <c r="L74" i="6"/>
  <c r="H74" i="6"/>
  <c r="I74" i="6"/>
  <c r="M15" i="6"/>
  <c r="L15" i="6"/>
  <c r="H15" i="6"/>
  <c r="I15" i="6"/>
  <c r="M76" i="6"/>
  <c r="L76" i="6"/>
  <c r="H76" i="6"/>
  <c r="I76" i="6"/>
  <c r="M157" i="6"/>
  <c r="L157" i="6"/>
  <c r="H157" i="6"/>
  <c r="I157" i="6"/>
  <c r="M118" i="6"/>
  <c r="L118" i="6"/>
  <c r="H118" i="6"/>
  <c r="I118" i="6"/>
  <c r="M95" i="6"/>
  <c r="L95" i="6"/>
  <c r="H95" i="6"/>
  <c r="I95" i="6"/>
  <c r="M106" i="6"/>
  <c r="L106" i="6"/>
  <c r="H106" i="6"/>
  <c r="I106" i="6"/>
  <c r="M93" i="6"/>
  <c r="L93" i="6"/>
  <c r="H93" i="6"/>
  <c r="I93" i="6"/>
  <c r="M138" i="6"/>
  <c r="L138" i="6"/>
  <c r="H138" i="6"/>
  <c r="I138" i="6"/>
  <c r="M45" i="6"/>
  <c r="L45" i="6"/>
  <c r="H45" i="6"/>
  <c r="I45" i="6"/>
  <c r="M139" i="6"/>
  <c r="L139" i="6"/>
  <c r="H139" i="6"/>
  <c r="I139" i="6"/>
  <c r="M121" i="6"/>
  <c r="L121" i="6"/>
  <c r="H121" i="6"/>
  <c r="I121" i="6"/>
  <c r="M97" i="6"/>
  <c r="L97" i="6"/>
  <c r="H97" i="6"/>
  <c r="I97" i="6"/>
  <c r="M26" i="6"/>
  <c r="L26" i="6"/>
  <c r="H26" i="6"/>
  <c r="I26" i="6"/>
  <c r="M127" i="6"/>
  <c r="L127" i="6"/>
  <c r="H127" i="6"/>
  <c r="I127" i="6"/>
  <c r="M100" i="6"/>
  <c r="L100" i="6"/>
  <c r="H100" i="6"/>
  <c r="I100" i="6"/>
  <c r="M123" i="6"/>
  <c r="L123" i="6"/>
  <c r="H123" i="6"/>
  <c r="I123" i="6"/>
  <c r="M144" i="6"/>
  <c r="L144" i="6"/>
  <c r="H144" i="6"/>
  <c r="I144" i="6"/>
  <c r="M113" i="6"/>
  <c r="L113" i="6"/>
  <c r="H113" i="6"/>
  <c r="I113" i="6"/>
  <c r="M27" i="6"/>
  <c r="L27" i="6"/>
  <c r="H27" i="6"/>
  <c r="I27" i="6"/>
  <c r="M49" i="6"/>
  <c r="L49" i="6"/>
  <c r="H49" i="6"/>
  <c r="I49" i="6"/>
  <c r="M11" i="6"/>
  <c r="L11" i="6"/>
  <c r="H11" i="6"/>
  <c r="I11" i="6"/>
  <c r="M59" i="6"/>
  <c r="L59" i="6"/>
  <c r="H59" i="6"/>
  <c r="I59" i="6"/>
  <c r="M53" i="6"/>
  <c r="L53" i="6"/>
  <c r="H53" i="6"/>
  <c r="I53" i="6"/>
  <c r="M141" i="6"/>
  <c r="L141" i="6"/>
  <c r="H141" i="6"/>
  <c r="I141" i="6"/>
  <c r="M28" i="6"/>
  <c r="L28" i="6"/>
  <c r="H28" i="6"/>
  <c r="I28" i="6"/>
  <c r="M47" i="6"/>
  <c r="L47" i="6"/>
  <c r="H47" i="6"/>
  <c r="I47" i="6"/>
  <c r="M116" i="6"/>
  <c r="L116" i="6"/>
  <c r="H116" i="6"/>
  <c r="I116" i="6"/>
  <c r="M62" i="6"/>
  <c r="L62" i="6"/>
  <c r="H62" i="6"/>
  <c r="I62" i="6"/>
  <c r="M29" i="6"/>
  <c r="L29" i="6"/>
  <c r="H29" i="6"/>
  <c r="I29" i="6"/>
  <c r="M66" i="6"/>
  <c r="L66" i="6"/>
  <c r="H66" i="6"/>
  <c r="I66" i="6"/>
  <c r="M68" i="6"/>
  <c r="L68" i="6"/>
  <c r="H68" i="6"/>
  <c r="I68" i="6"/>
  <c r="M154" i="6"/>
  <c r="L154" i="6"/>
  <c r="H154" i="6"/>
  <c r="I154" i="6"/>
  <c r="M151" i="6"/>
  <c r="L151" i="6"/>
  <c r="H151" i="6"/>
  <c r="I151" i="6"/>
  <c r="M17" i="6"/>
  <c r="L17" i="6"/>
  <c r="H17" i="6"/>
  <c r="I17" i="6"/>
  <c r="M10" i="6"/>
  <c r="L10" i="6"/>
  <c r="L199" i="6" s="1"/>
  <c r="H10" i="6"/>
  <c r="I10" i="6"/>
  <c r="M146" i="6"/>
  <c r="L146" i="6"/>
  <c r="H146" i="6"/>
  <c r="I146" i="6"/>
  <c r="M78" i="6"/>
  <c r="L78" i="6"/>
  <c r="H78" i="6"/>
  <c r="I78" i="6"/>
  <c r="M57" i="6"/>
  <c r="L57" i="6"/>
  <c r="H57" i="6"/>
  <c r="I57" i="6"/>
  <c r="M16" i="6"/>
  <c r="L16" i="6"/>
  <c r="H16" i="6"/>
  <c r="I16" i="6"/>
  <c r="M60" i="6"/>
  <c r="L60" i="6"/>
  <c r="H60" i="6"/>
  <c r="I60" i="6"/>
  <c r="M115" i="6"/>
  <c r="L115" i="6"/>
  <c r="H115" i="6"/>
  <c r="I115" i="6"/>
  <c r="M32" i="6"/>
  <c r="L32" i="6"/>
  <c r="H32" i="6"/>
  <c r="I32" i="6"/>
  <c r="M87" i="6"/>
  <c r="L87" i="6"/>
  <c r="H87" i="6"/>
  <c r="I87" i="6"/>
  <c r="M18" i="6"/>
  <c r="L18" i="6"/>
  <c r="H18" i="6"/>
  <c r="I18" i="6"/>
  <c r="M35" i="6"/>
  <c r="L35" i="6"/>
  <c r="H35" i="6"/>
  <c r="I35" i="6"/>
  <c r="M80" i="6"/>
  <c r="L80" i="6"/>
  <c r="H80" i="6"/>
  <c r="I80" i="6"/>
  <c r="M120" i="6"/>
  <c r="L120" i="6"/>
  <c r="H120" i="6"/>
  <c r="I120" i="6"/>
  <c r="M21" i="6"/>
  <c r="L21" i="6"/>
  <c r="H21" i="6"/>
  <c r="I21" i="6"/>
  <c r="M58" i="6"/>
  <c r="L58" i="6"/>
  <c r="H58" i="6"/>
  <c r="I58" i="6"/>
  <c r="M83" i="6"/>
  <c r="L83" i="6"/>
  <c r="H83" i="6"/>
  <c r="I83" i="6"/>
  <c r="M147" i="6"/>
  <c r="L147" i="6"/>
  <c r="H147" i="6"/>
  <c r="I147" i="6"/>
  <c r="M164" i="6"/>
  <c r="L164" i="6"/>
  <c r="H164" i="6"/>
  <c r="I164" i="6"/>
  <c r="M82" i="6"/>
  <c r="L82" i="6"/>
  <c r="H82" i="6"/>
  <c r="I82" i="6"/>
  <c r="M156" i="6"/>
  <c r="L156" i="6"/>
  <c r="H156" i="6"/>
  <c r="I156" i="6"/>
  <c r="M98" i="6"/>
  <c r="L98" i="6"/>
  <c r="H98" i="6"/>
  <c r="I98" i="6"/>
  <c r="M91" i="6"/>
  <c r="L91" i="6"/>
  <c r="H91" i="6"/>
  <c r="I91" i="6"/>
  <c r="M129" i="6"/>
  <c r="L129" i="6"/>
  <c r="H129" i="6"/>
  <c r="I129" i="6"/>
  <c r="M52" i="6"/>
  <c r="L52" i="6"/>
  <c r="H52" i="6"/>
  <c r="I52" i="6"/>
  <c r="M148" i="6"/>
  <c r="L148" i="6"/>
  <c r="H148" i="6"/>
  <c r="I148" i="6"/>
  <c r="M31" i="6"/>
  <c r="L31" i="6"/>
  <c r="H31" i="6"/>
  <c r="I31" i="6"/>
  <c r="M64" i="6"/>
  <c r="L64" i="6"/>
  <c r="H64" i="6"/>
  <c r="I64" i="6"/>
  <c r="M13" i="6"/>
  <c r="L13" i="6"/>
  <c r="H13" i="6"/>
  <c r="I13" i="6"/>
  <c r="M77" i="6"/>
  <c r="L77" i="6"/>
  <c r="H77" i="6"/>
  <c r="I77" i="6"/>
  <c r="M117" i="6"/>
  <c r="L117" i="6"/>
  <c r="H117" i="6"/>
  <c r="I117" i="6"/>
  <c r="M108" i="6"/>
  <c r="L108" i="6"/>
  <c r="H108" i="6"/>
  <c r="I108" i="6"/>
  <c r="M114" i="6"/>
  <c r="L114" i="6"/>
  <c r="H114" i="6"/>
  <c r="I114" i="6"/>
  <c r="M155" i="6"/>
  <c r="L155" i="6"/>
  <c r="H155" i="6"/>
  <c r="I155" i="6"/>
  <c r="M126" i="6"/>
  <c r="L126" i="6"/>
  <c r="H126" i="6"/>
  <c r="I126" i="6"/>
  <c r="M92" i="6"/>
  <c r="L92" i="6"/>
  <c r="H92" i="6"/>
  <c r="I92" i="6"/>
  <c r="M90" i="6"/>
  <c r="L90" i="6"/>
  <c r="H90" i="6"/>
  <c r="I90" i="6"/>
  <c r="M130" i="6"/>
  <c r="L130" i="6"/>
  <c r="I130" i="6"/>
  <c r="M86" i="6"/>
  <c r="L86" i="6"/>
  <c r="H86" i="6"/>
  <c r="I86" i="6" s="1"/>
  <c r="M43" i="6"/>
  <c r="L43" i="6"/>
  <c r="H43" i="6"/>
  <c r="I43" i="6" s="1"/>
  <c r="M30" i="6"/>
  <c r="L30" i="6"/>
  <c r="H30" i="6"/>
  <c r="I30" i="6" s="1"/>
  <c r="M159" i="6"/>
  <c r="L159" i="6"/>
  <c r="H159" i="6"/>
  <c r="I159" i="6" s="1"/>
  <c r="M107" i="6"/>
  <c r="L107" i="6"/>
  <c r="H107" i="6"/>
  <c r="I107" i="6" s="1"/>
  <c r="M88" i="6"/>
  <c r="L88" i="6"/>
  <c r="H88" i="6"/>
  <c r="I88" i="6" s="1"/>
  <c r="M85" i="6"/>
  <c r="L85" i="6"/>
  <c r="H85" i="6"/>
  <c r="I85" i="6" s="1"/>
  <c r="M131" i="6"/>
  <c r="L131" i="6"/>
  <c r="H131" i="6"/>
  <c r="I131" i="6" s="1"/>
  <c r="M36" i="6"/>
  <c r="L36" i="6"/>
  <c r="H36" i="6"/>
  <c r="I36" i="6" s="1"/>
  <c r="M20" i="6"/>
  <c r="L20" i="6"/>
  <c r="H20" i="6"/>
  <c r="I20" i="6" s="1"/>
  <c r="M63" i="6"/>
  <c r="L63" i="6"/>
  <c r="H63" i="6"/>
  <c r="I63" i="6" s="1"/>
  <c r="M124" i="6"/>
  <c r="L124" i="6"/>
  <c r="H124" i="6"/>
  <c r="I124" i="6" s="1"/>
  <c r="M158" i="6"/>
  <c r="L158" i="6"/>
  <c r="H158" i="6"/>
  <c r="I158" i="6" s="1"/>
  <c r="M37" i="6"/>
  <c r="L37" i="6"/>
  <c r="H37" i="6"/>
  <c r="I37" i="6" s="1"/>
  <c r="M163" i="6"/>
  <c r="L163" i="6"/>
  <c r="H163" i="6"/>
  <c r="I163" i="6" s="1"/>
  <c r="M42" i="6"/>
  <c r="L42" i="6"/>
  <c r="H42" i="6"/>
  <c r="I42" i="6" s="1"/>
  <c r="M112" i="6"/>
  <c r="L112" i="6"/>
  <c r="H112" i="6"/>
  <c r="I112" i="6" s="1"/>
  <c r="M162" i="6"/>
  <c r="L162" i="6"/>
  <c r="H162" i="6"/>
  <c r="I162" i="6" s="1"/>
  <c r="M14" i="6"/>
  <c r="L14" i="6"/>
  <c r="H14" i="6"/>
  <c r="I14" i="6" s="1"/>
  <c r="M65" i="6"/>
  <c r="L65" i="6"/>
  <c r="H65" i="6"/>
  <c r="I65" i="6" s="1"/>
  <c r="M145" i="6"/>
  <c r="L145" i="6"/>
  <c r="H145" i="6"/>
  <c r="I145" i="6" s="1"/>
  <c r="M122" i="6"/>
  <c r="L122" i="6"/>
  <c r="H122" i="6"/>
  <c r="I122" i="6" s="1"/>
  <c r="M110" i="6"/>
  <c r="L110" i="6"/>
  <c r="H110" i="6"/>
  <c r="I110" i="6" s="1"/>
  <c r="M149" i="6"/>
  <c r="L149" i="6"/>
  <c r="H149" i="6"/>
  <c r="I149" i="6" s="1"/>
  <c r="M19" i="6"/>
  <c r="L19" i="6"/>
  <c r="H19" i="6"/>
  <c r="I19" i="6" s="1"/>
  <c r="M96" i="6"/>
  <c r="L96" i="6"/>
  <c r="H96" i="6"/>
  <c r="I96" i="6" s="1"/>
  <c r="M79" i="6"/>
  <c r="L79" i="6"/>
  <c r="H79" i="6"/>
  <c r="I79" i="6" s="1"/>
  <c r="M84" i="6"/>
  <c r="L84" i="6"/>
  <c r="H84" i="6"/>
  <c r="I84" i="6" s="1"/>
  <c r="M54" i="6"/>
  <c r="L54" i="6"/>
  <c r="H54" i="6"/>
  <c r="I54" i="6" s="1"/>
  <c r="M161" i="6"/>
  <c r="L161" i="6"/>
  <c r="H161" i="6"/>
  <c r="I161" i="6" s="1"/>
  <c r="M125" i="6"/>
  <c r="L125" i="6"/>
  <c r="H125" i="6"/>
  <c r="I125" i="6" s="1"/>
  <c r="M111" i="6"/>
  <c r="L111" i="6"/>
  <c r="H111" i="6"/>
  <c r="I111" i="6" s="1"/>
  <c r="M50" i="6"/>
  <c r="L50" i="6"/>
  <c r="H50" i="6"/>
  <c r="I50" i="6" s="1"/>
  <c r="M89" i="6"/>
  <c r="L89" i="6"/>
  <c r="H89" i="6"/>
  <c r="I89" i="6" s="1"/>
  <c r="M22" i="6"/>
  <c r="L22" i="6"/>
  <c r="H22" i="6"/>
  <c r="I22" i="6" s="1"/>
  <c r="M51" i="6"/>
  <c r="L51" i="6"/>
  <c r="H51" i="6"/>
  <c r="I51" i="6" s="1"/>
  <c r="M140" i="6"/>
  <c r="L140" i="6"/>
  <c r="H140" i="6"/>
  <c r="I140" i="6" s="1"/>
  <c r="AG64" i="1"/>
  <c r="AD64" i="1"/>
  <c r="AA64" i="1"/>
  <c r="X64" i="1"/>
  <c r="D98" i="3"/>
  <c r="D93" i="3"/>
  <c r="D95" i="3" s="1"/>
  <c r="E41" i="3"/>
  <c r="E98" i="3" s="1"/>
  <c r="E100" i="3" s="1"/>
  <c r="D109" i="3"/>
  <c r="B10" i="3"/>
  <c r="B9" i="3"/>
  <c r="C8" i="3"/>
  <c r="W25" i="1"/>
  <c r="T25" i="1"/>
  <c r="AF20" i="1"/>
  <c r="AC20" i="1"/>
  <c r="Z20" i="1"/>
  <c r="W20" i="1"/>
  <c r="AG14" i="1"/>
  <c r="AD14" i="1"/>
  <c r="AA14" i="1"/>
  <c r="X14" i="1"/>
  <c r="AG10" i="1"/>
  <c r="AD10" i="1"/>
  <c r="AA10" i="1"/>
  <c r="X10" i="1"/>
  <c r="U10" i="1"/>
  <c r="AG9" i="1"/>
  <c r="M199" i="6"/>
  <c r="D100" i="3"/>
  <c r="C24" i="7"/>
  <c r="L31" i="7" s="1"/>
  <c r="B13" i="7"/>
  <c r="B28" i="7" s="1"/>
  <c r="E93" i="3"/>
  <c r="E95" i="3" s="1"/>
  <c r="E24" i="7"/>
  <c r="L33" i="7" s="1"/>
  <c r="H17" i="7"/>
  <c r="D22" i="7"/>
  <c r="J30" i="7" s="1"/>
  <c r="D24" i="7"/>
  <c r="L30" i="7" s="1"/>
  <c r="D23" i="7"/>
  <c r="K30" i="7" s="1"/>
  <c r="C22" i="7"/>
  <c r="J31" i="7" s="1"/>
  <c r="B105" i="3"/>
  <c r="C29" i="3"/>
  <c r="F41" i="3"/>
  <c r="F93" i="3" s="1"/>
  <c r="F95" i="3" s="1"/>
  <c r="E109" i="3"/>
  <c r="B108" i="3"/>
  <c r="B104" i="3"/>
  <c r="B36" i="5" s="1"/>
  <c r="AD9" i="1"/>
  <c r="X9" i="1"/>
  <c r="U9" i="1"/>
  <c r="AA9" i="1"/>
  <c r="B52" i="5"/>
  <c r="B56" i="5"/>
  <c r="B27" i="5"/>
  <c r="B30" i="5"/>
  <c r="J7" i="8"/>
  <c r="J8" i="8"/>
  <c r="J10" i="8"/>
  <c r="J9" i="8"/>
  <c r="I17" i="7"/>
  <c r="F109" i="3"/>
  <c r="G109" i="3"/>
  <c r="H18" i="7"/>
  <c r="H109" i="3"/>
  <c r="I18" i="7"/>
  <c r="I109" i="3"/>
  <c r="H19" i="7"/>
  <c r="J109" i="3"/>
  <c r="I19" i="7"/>
  <c r="K109" i="3"/>
  <c r="H20" i="7"/>
  <c r="L109" i="3"/>
  <c r="I20" i="7"/>
  <c r="M109" i="3"/>
  <c r="H21" i="7"/>
  <c r="D42" i="3"/>
  <c r="E42" i="3" s="1"/>
  <c r="F42" i="3" s="1"/>
  <c r="G42" i="3" s="1"/>
  <c r="H42" i="3" s="1"/>
  <c r="I42" i="3" s="1"/>
  <c r="J42" i="3" s="1"/>
  <c r="K42" i="3" s="1"/>
  <c r="L42" i="3" s="1"/>
  <c r="M42" i="3" s="1"/>
  <c r="N42" i="3" s="1"/>
  <c r="N109" i="3"/>
  <c r="I21" i="7"/>
  <c r="H22" i="7"/>
  <c r="I22" i="7"/>
  <c r="H23" i="7"/>
  <c r="I23" i="7"/>
  <c r="H24" i="7"/>
  <c r="I24" i="7"/>
  <c r="A91" i="6"/>
  <c r="A51" i="6"/>
  <c r="A52" i="6"/>
  <c r="A72" i="6"/>
  <c r="A112" i="6"/>
  <c r="A132" i="6"/>
  <c r="A113" i="6"/>
  <c r="A10" i="6"/>
  <c r="A114" i="6"/>
  <c r="A11" i="6"/>
  <c r="A71" i="6"/>
  <c r="A111" i="6"/>
  <c r="A115" i="6"/>
  <c r="A131" i="6"/>
  <c r="A133" i="6"/>
  <c r="A116" i="6"/>
  <c r="A73" i="6"/>
  <c r="A53" i="6"/>
  <c r="A118" i="6"/>
  <c r="A117" i="6"/>
  <c r="A12" i="6"/>
  <c r="A32" i="6"/>
  <c r="A54" i="6"/>
  <c r="A74" i="6"/>
  <c r="A31" i="6"/>
  <c r="A135" i="6"/>
  <c r="A92" i="6"/>
  <c r="A93" i="6"/>
  <c r="A134" i="6"/>
  <c r="A14" i="6"/>
  <c r="A75" i="6"/>
  <c r="A33" i="6"/>
  <c r="A136" i="6"/>
  <c r="A94" i="6"/>
  <c r="A55" i="6"/>
  <c r="A13" i="6"/>
  <c r="A119" i="6"/>
  <c r="A137" i="6"/>
  <c r="A76" i="6"/>
  <c r="A120" i="6"/>
  <c r="A95" i="6"/>
  <c r="A34" i="6"/>
  <c r="A15" i="6"/>
  <c r="A35" i="6"/>
  <c r="A121" i="6"/>
  <c r="A138" i="6"/>
  <c r="A57" i="6"/>
  <c r="A16" i="6"/>
  <c r="A96" i="6"/>
  <c r="A77" i="6"/>
  <c r="A56" i="6"/>
  <c r="A97" i="6"/>
  <c r="A58" i="6"/>
  <c r="A122" i="6"/>
  <c r="A78" i="6"/>
  <c r="A139" i="6"/>
  <c r="A36" i="6"/>
  <c r="A79" i="6"/>
  <c r="A59" i="6"/>
  <c r="A37" i="6"/>
  <c r="A18" i="6"/>
  <c r="A140" i="6"/>
  <c r="A17" i="6"/>
  <c r="A98" i="6"/>
  <c r="A124" i="6"/>
  <c r="A99" i="6"/>
  <c r="A123" i="6"/>
  <c r="A141" i="6"/>
  <c r="A80" i="6"/>
  <c r="A39" i="6"/>
  <c r="A20" i="6"/>
  <c r="A81" i="6"/>
  <c r="A142" i="6"/>
  <c r="A61" i="6"/>
  <c r="A19" i="6"/>
  <c r="A38" i="6"/>
  <c r="A60" i="6"/>
  <c r="A126" i="6"/>
  <c r="A101" i="6"/>
  <c r="A62" i="6"/>
  <c r="A82" i="6"/>
  <c r="A100" i="6"/>
  <c r="A125" i="6"/>
  <c r="A143" i="6"/>
  <c r="A21" i="6"/>
  <c r="A41" i="6"/>
  <c r="A40" i="6"/>
  <c r="A83" i="6"/>
  <c r="A22" i="6"/>
  <c r="A127" i="6"/>
  <c r="A64" i="6"/>
  <c r="A103" i="6"/>
  <c r="A145" i="6"/>
  <c r="A23" i="6"/>
  <c r="A63" i="6"/>
  <c r="A102" i="6"/>
  <c r="A144" i="6"/>
  <c r="A42" i="6"/>
  <c r="A85" i="6"/>
  <c r="A84" i="6"/>
  <c r="A24" i="6"/>
  <c r="A104" i="6"/>
  <c r="A129" i="6"/>
  <c r="A130" i="6"/>
  <c r="A43" i="6"/>
  <c r="A128" i="6"/>
  <c r="A146" i="6"/>
  <c r="A65" i="6"/>
  <c r="A147" i="6"/>
  <c r="A44" i="6"/>
  <c r="A105" i="6"/>
  <c r="A66" i="6"/>
  <c r="A25" i="6"/>
  <c r="A86" i="6"/>
  <c r="A87" i="6"/>
  <c r="A67" i="6"/>
  <c r="A26" i="6"/>
  <c r="A106" i="6"/>
  <c r="A27" i="6"/>
  <c r="A68" i="6"/>
  <c r="A46" i="6"/>
  <c r="A107" i="6"/>
  <c r="A45" i="6"/>
  <c r="A88" i="6"/>
  <c r="A70" i="6"/>
  <c r="A69" i="6"/>
  <c r="A89" i="6"/>
  <c r="A90" i="6"/>
  <c r="A47" i="6"/>
  <c r="A109" i="6"/>
  <c r="A110" i="6"/>
  <c r="A48" i="6"/>
  <c r="A29" i="6"/>
  <c r="A30" i="6"/>
  <c r="A28" i="6"/>
  <c r="A108" i="6"/>
  <c r="A49" i="6"/>
  <c r="A50" i="6"/>
  <c r="U64" i="1"/>
  <c r="U31" i="1"/>
  <c r="U51" i="1"/>
  <c r="X51" i="1"/>
  <c r="U52" i="1"/>
  <c r="X52" i="1"/>
  <c r="X31" i="1"/>
  <c r="T21" i="1"/>
  <c r="U21" i="1" s="1"/>
  <c r="W21" i="1"/>
  <c r="X21" i="1" s="1"/>
  <c r="T22" i="1"/>
  <c r="U22" i="1" s="1"/>
  <c r="W22" i="1"/>
  <c r="X22" i="1" s="1"/>
  <c r="T23" i="1"/>
  <c r="U23" i="1" s="1"/>
  <c r="W23" i="1"/>
  <c r="X23" i="1" s="1"/>
  <c r="T24" i="1"/>
  <c r="U24" i="1" s="1"/>
  <c r="W24" i="1"/>
  <c r="X24" i="1" s="1"/>
  <c r="D26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D28" i="1"/>
  <c r="D60" i="1"/>
  <c r="AA15" i="1"/>
  <c r="AD15" i="1"/>
  <c r="AG15" i="1"/>
  <c r="X16" i="1"/>
  <c r="AA16" i="1"/>
  <c r="AD16" i="1"/>
  <c r="AG16" i="1"/>
  <c r="E28" i="1"/>
  <c r="E60" i="1"/>
  <c r="F28" i="1"/>
  <c r="F60" i="1"/>
  <c r="G28" i="1"/>
  <c r="G60" i="1"/>
  <c r="H28" i="1"/>
  <c r="H60" i="1"/>
  <c r="I28" i="1"/>
  <c r="I60" i="1"/>
  <c r="J28" i="1"/>
  <c r="J60" i="1"/>
  <c r="K28" i="1"/>
  <c r="K60" i="1"/>
  <c r="L28" i="1"/>
  <c r="L60" i="1"/>
  <c r="M28" i="1"/>
  <c r="M60" i="1"/>
  <c r="N28" i="1"/>
  <c r="N60" i="1"/>
  <c r="O28" i="1"/>
  <c r="P28" i="1"/>
  <c r="P60" i="1"/>
  <c r="Q28" i="1"/>
  <c r="Q60" i="1"/>
  <c r="R28" i="1"/>
  <c r="R60" i="1"/>
  <c r="O60" i="1"/>
  <c r="X15" i="1"/>
  <c r="U15" i="1"/>
  <c r="U16" i="1"/>
  <c r="G41" i="3" l="1"/>
  <c r="C23" i="7"/>
  <c r="K31" i="7" s="1"/>
  <c r="K32" i="7" s="1"/>
  <c r="E25" i="7"/>
  <c r="M33" i="7" s="1"/>
  <c r="I5" i="7"/>
  <c r="I7" i="7" s="1"/>
  <c r="E23" i="7"/>
  <c r="K33" i="7" s="1"/>
  <c r="E22" i="7"/>
  <c r="J33" i="7" s="1"/>
  <c r="C25" i="7"/>
  <c r="M31" i="7" s="1"/>
  <c r="F24" i="7"/>
  <c r="F22" i="7"/>
  <c r="F23" i="7"/>
  <c r="L32" i="7"/>
  <c r="D199" i="6"/>
  <c r="F11" i="8" s="1"/>
  <c r="O199" i="6"/>
  <c r="J12" i="8"/>
  <c r="F7" i="8"/>
  <c r="F8" i="8"/>
  <c r="D7" i="8"/>
  <c r="M30" i="7"/>
  <c r="C18" i="3"/>
  <c r="G93" i="3"/>
  <c r="G95" i="3" s="1"/>
  <c r="F98" i="3"/>
  <c r="F100" i="3" s="1"/>
  <c r="B26" i="5"/>
  <c r="C94" i="3"/>
  <c r="C96" i="3" s="1"/>
  <c r="C39" i="7"/>
  <c r="C51" i="7" s="1"/>
  <c r="C63" i="7" s="1"/>
  <c r="C75" i="7" s="1"/>
  <c r="C87" i="7" s="1"/>
  <c r="C99" i="7" s="1"/>
  <c r="C111" i="7" s="1"/>
  <c r="C123" i="7" s="1"/>
  <c r="C135" i="7" s="1"/>
  <c r="C147" i="7" s="1"/>
  <c r="C159" i="7" s="1"/>
  <c r="C171" i="7" s="1"/>
  <c r="C183" i="7" s="1"/>
  <c r="C195" i="7" s="1"/>
  <c r="C207" i="7" s="1"/>
  <c r="C219" i="7" s="1"/>
  <c r="C231" i="7" s="1"/>
  <c r="C243" i="7" s="1"/>
  <c r="C255" i="7" s="1"/>
  <c r="C267" i="7" s="1"/>
  <c r="C279" i="7" s="1"/>
  <c r="C291" i="7" s="1"/>
  <c r="C303" i="7" s="1"/>
  <c r="C315" i="7" s="1"/>
  <c r="C327" i="7" s="1"/>
  <c r="C339" i="7" s="1"/>
  <c r="C351" i="7" s="1"/>
  <c r="C363" i="7" s="1"/>
  <c r="C375" i="7" s="1"/>
  <c r="C387" i="7" s="1"/>
  <c r="B44" i="5"/>
  <c r="E14" i="5"/>
  <c r="E17" i="5" s="1"/>
  <c r="E9" i="3"/>
  <c r="E18" i="3"/>
  <c r="F17" i="3"/>
  <c r="F18" i="3" s="1"/>
  <c r="B48" i="5"/>
  <c r="B40" i="5"/>
  <c r="B53" i="5"/>
  <c r="B37" i="5"/>
  <c r="J32" i="7"/>
  <c r="B45" i="5"/>
  <c r="C14" i="3"/>
  <c r="C13" i="5"/>
  <c r="F14" i="3"/>
  <c r="D18" i="3"/>
  <c r="R11" i="8"/>
  <c r="R9" i="8"/>
  <c r="R10" i="8"/>
  <c r="AL47" i="1"/>
  <c r="AL26" i="1"/>
  <c r="D54" i="3" s="1"/>
  <c r="E54" i="3" s="1"/>
  <c r="F54" i="3" s="1"/>
  <c r="G54" i="3" s="1"/>
  <c r="H54" i="3" s="1"/>
  <c r="I54" i="3" s="1"/>
  <c r="J54" i="3" s="1"/>
  <c r="K54" i="3" s="1"/>
  <c r="L54" i="3" s="1"/>
  <c r="M54" i="3" s="1"/>
  <c r="N54" i="3" s="1"/>
  <c r="AT24" i="1"/>
  <c r="AT22" i="1"/>
  <c r="U47" i="1"/>
  <c r="T57" i="1"/>
  <c r="U57" i="1" s="1"/>
  <c r="AG47" i="1"/>
  <c r="AF57" i="1"/>
  <c r="X47" i="1"/>
  <c r="W57" i="1"/>
  <c r="W18" i="1"/>
  <c r="X18" i="1" s="1"/>
  <c r="X12" i="1"/>
  <c r="AA47" i="1"/>
  <c r="Z57" i="1"/>
  <c r="AG12" i="1"/>
  <c r="AR12" i="1" s="1"/>
  <c r="AT12" i="1" s="1"/>
  <c r="AF18" i="1"/>
  <c r="AG18" i="1" s="1"/>
  <c r="AR18" i="1" s="1"/>
  <c r="AD47" i="1"/>
  <c r="AC57" i="1"/>
  <c r="T18" i="1"/>
  <c r="U18" i="1" s="1"/>
  <c r="U12" i="1"/>
  <c r="AA12" i="1"/>
  <c r="AN12" i="1" s="1"/>
  <c r="Z18" i="1"/>
  <c r="AA18" i="1" s="1"/>
  <c r="AN18" i="1" s="1"/>
  <c r="B4" i="1"/>
  <c r="AC18" i="1"/>
  <c r="AF26" i="1"/>
  <c r="AG26" i="1" s="1"/>
  <c r="AR26" i="1" s="1"/>
  <c r="AT40" i="1"/>
  <c r="Z26" i="1"/>
  <c r="AA26" i="1" s="1"/>
  <c r="AN26" i="1" s="1"/>
  <c r="AC26" i="1"/>
  <c r="AD26" i="1" s="1"/>
  <c r="AP26" i="1" s="1"/>
  <c r="T26" i="1"/>
  <c r="AT52" i="1"/>
  <c r="AT39" i="1"/>
  <c r="AT51" i="1"/>
  <c r="AT43" i="1"/>
  <c r="AC28" i="1"/>
  <c r="AD18" i="1"/>
  <c r="AP18" i="1" s="1"/>
  <c r="U26" i="1"/>
  <c r="T28" i="1"/>
  <c r="AT31" i="1"/>
  <c r="AT23" i="1"/>
  <c r="AT21" i="1"/>
  <c r="W26" i="1"/>
  <c r="AT42" i="1"/>
  <c r="AT34" i="1"/>
  <c r="Z28" i="1"/>
  <c r="AT45" i="1"/>
  <c r="AT41" i="1"/>
  <c r="AT33" i="1"/>
  <c r="AT18" i="1"/>
  <c r="H41" i="3" l="1"/>
  <c r="G98" i="3"/>
  <c r="G100" i="3" s="1"/>
  <c r="F25" i="7"/>
  <c r="M32" i="7"/>
  <c r="D39" i="7"/>
  <c r="D40" i="7" s="1"/>
  <c r="D41" i="7" s="1"/>
  <c r="D42" i="7" s="1"/>
  <c r="D43" i="7" s="1"/>
  <c r="D44" i="7" s="1"/>
  <c r="D45" i="7" s="1"/>
  <c r="D46" i="7" s="1"/>
  <c r="D47" i="7" s="1"/>
  <c r="D48" i="7" s="1"/>
  <c r="D49" i="7" s="1"/>
  <c r="D50" i="7" s="1"/>
  <c r="D51" i="7" s="1"/>
  <c r="D52" i="7" s="1"/>
  <c r="D53" i="7" s="1"/>
  <c r="D54" i="7" s="1"/>
  <c r="D55" i="7" s="1"/>
  <c r="D56" i="7" s="1"/>
  <c r="D57" i="7" s="1"/>
  <c r="D58" i="7" s="1"/>
  <c r="D59" i="7" s="1"/>
  <c r="D60" i="7" s="1"/>
  <c r="D61" i="7" s="1"/>
  <c r="D62" i="7" s="1"/>
  <c r="D63" i="7" s="1"/>
  <c r="D64" i="7" s="1"/>
  <c r="D65" i="7" s="1"/>
  <c r="D66" i="7" s="1"/>
  <c r="D67" i="7" s="1"/>
  <c r="D68" i="7" s="1"/>
  <c r="D69" i="7" s="1"/>
  <c r="D70" i="7" s="1"/>
  <c r="D71" i="7" s="1"/>
  <c r="D72" i="7" s="1"/>
  <c r="D73" i="7" s="1"/>
  <c r="D74" i="7" s="1"/>
  <c r="D75" i="7" s="1"/>
  <c r="D76" i="7" s="1"/>
  <c r="D77" i="7" s="1"/>
  <c r="D78" i="7" s="1"/>
  <c r="D79" i="7" s="1"/>
  <c r="D80" i="7" s="1"/>
  <c r="D81" i="7" s="1"/>
  <c r="D82" i="7" s="1"/>
  <c r="D83" i="7" s="1"/>
  <c r="D84" i="7" s="1"/>
  <c r="D85" i="7" s="1"/>
  <c r="D86" i="7" s="1"/>
  <c r="D87" i="7" s="1"/>
  <c r="D88" i="7" s="1"/>
  <c r="D89" i="7" s="1"/>
  <c r="D90" i="7" s="1"/>
  <c r="D91" i="7" s="1"/>
  <c r="D92" i="7" s="1"/>
  <c r="D93" i="7" s="1"/>
  <c r="D94" i="7" s="1"/>
  <c r="D95" i="7" s="1"/>
  <c r="D96" i="7" s="1"/>
  <c r="D97" i="7" s="1"/>
  <c r="D98" i="7" s="1"/>
  <c r="D99" i="7" s="1"/>
  <c r="D100" i="7" s="1"/>
  <c r="D101" i="7" s="1"/>
  <c r="D102" i="7" s="1"/>
  <c r="D103" i="7" s="1"/>
  <c r="D104" i="7" s="1"/>
  <c r="D105" i="7" s="1"/>
  <c r="D106" i="7" s="1"/>
  <c r="D107" i="7" s="1"/>
  <c r="D108" i="7" s="1"/>
  <c r="D109" i="7" s="1"/>
  <c r="D110" i="7" s="1"/>
  <c r="D111" i="7" s="1"/>
  <c r="D112" i="7" s="1"/>
  <c r="D113" i="7" s="1"/>
  <c r="D114" i="7" s="1"/>
  <c r="D115" i="7" s="1"/>
  <c r="D116" i="7" s="1"/>
  <c r="D117" i="7" s="1"/>
  <c r="D118" i="7" s="1"/>
  <c r="D119" i="7" s="1"/>
  <c r="D120" i="7" s="1"/>
  <c r="D121" i="7" s="1"/>
  <c r="D122" i="7" s="1"/>
  <c r="D123" i="7" s="1"/>
  <c r="D124" i="7" s="1"/>
  <c r="D125" i="7" s="1"/>
  <c r="D126" i="7" s="1"/>
  <c r="D127" i="7" s="1"/>
  <c r="D128" i="7" s="1"/>
  <c r="D129" i="7" s="1"/>
  <c r="D130" i="7" s="1"/>
  <c r="D131" i="7" s="1"/>
  <c r="D132" i="7" s="1"/>
  <c r="D133" i="7" s="1"/>
  <c r="D134" i="7" s="1"/>
  <c r="D135" i="7" s="1"/>
  <c r="D136" i="7" s="1"/>
  <c r="D137" i="7" s="1"/>
  <c r="D138" i="7" s="1"/>
  <c r="D139" i="7" s="1"/>
  <c r="D140" i="7" s="1"/>
  <c r="D141" i="7" s="1"/>
  <c r="D142" i="7" s="1"/>
  <c r="D143" i="7" s="1"/>
  <c r="D144" i="7" s="1"/>
  <c r="D145" i="7" s="1"/>
  <c r="D146" i="7" s="1"/>
  <c r="D147" i="7" s="1"/>
  <c r="D148" i="7" s="1"/>
  <c r="D149" i="7" s="1"/>
  <c r="D150" i="7" s="1"/>
  <c r="D151" i="7" s="1"/>
  <c r="D152" i="7" s="1"/>
  <c r="D153" i="7" s="1"/>
  <c r="D154" i="7" s="1"/>
  <c r="D155" i="7" s="1"/>
  <c r="D156" i="7" s="1"/>
  <c r="D157" i="7" s="1"/>
  <c r="D158" i="7" s="1"/>
  <c r="D159" i="7" s="1"/>
  <c r="D160" i="7" s="1"/>
  <c r="D161" i="7" s="1"/>
  <c r="D162" i="7" s="1"/>
  <c r="D163" i="7" s="1"/>
  <c r="D164" i="7" s="1"/>
  <c r="D165" i="7" s="1"/>
  <c r="D166" i="7" s="1"/>
  <c r="D167" i="7" s="1"/>
  <c r="D168" i="7" s="1"/>
  <c r="D169" i="7" s="1"/>
  <c r="D170" i="7" s="1"/>
  <c r="D171" i="7" s="1"/>
  <c r="D172" i="7" s="1"/>
  <c r="D173" i="7" s="1"/>
  <c r="D174" i="7" s="1"/>
  <c r="D175" i="7" s="1"/>
  <c r="D176" i="7" s="1"/>
  <c r="D177" i="7" s="1"/>
  <c r="D178" i="7" s="1"/>
  <c r="D179" i="7" s="1"/>
  <c r="D180" i="7" s="1"/>
  <c r="D181" i="7" s="1"/>
  <c r="D182" i="7" s="1"/>
  <c r="D183" i="7" s="1"/>
  <c r="D184" i="7" s="1"/>
  <c r="D185" i="7" s="1"/>
  <c r="D186" i="7" s="1"/>
  <c r="D187" i="7" s="1"/>
  <c r="D188" i="7" s="1"/>
  <c r="D189" i="7" s="1"/>
  <c r="D190" i="7" s="1"/>
  <c r="D191" i="7" s="1"/>
  <c r="D192" i="7" s="1"/>
  <c r="D193" i="7" s="1"/>
  <c r="D194" i="7" s="1"/>
  <c r="D195" i="7" s="1"/>
  <c r="D196" i="7" s="1"/>
  <c r="D197" i="7" s="1"/>
  <c r="D198" i="7" s="1"/>
  <c r="D199" i="7" s="1"/>
  <c r="D200" i="7" s="1"/>
  <c r="D201" i="7" s="1"/>
  <c r="D202" i="7" s="1"/>
  <c r="D203" i="7" s="1"/>
  <c r="D204" i="7" s="1"/>
  <c r="D205" i="7" s="1"/>
  <c r="D206" i="7" s="1"/>
  <c r="D207" i="7" s="1"/>
  <c r="D208" i="7" s="1"/>
  <c r="D209" i="7" s="1"/>
  <c r="D210" i="7" s="1"/>
  <c r="D211" i="7" s="1"/>
  <c r="D212" i="7" s="1"/>
  <c r="D213" i="7" s="1"/>
  <c r="D214" i="7" s="1"/>
  <c r="D215" i="7" s="1"/>
  <c r="D216" i="7" s="1"/>
  <c r="D217" i="7" s="1"/>
  <c r="D218" i="7" s="1"/>
  <c r="D219" i="7" s="1"/>
  <c r="D220" i="7" s="1"/>
  <c r="D221" i="7" s="1"/>
  <c r="D222" i="7" s="1"/>
  <c r="D223" i="7" s="1"/>
  <c r="D224" i="7" s="1"/>
  <c r="D225" i="7" s="1"/>
  <c r="D226" i="7" s="1"/>
  <c r="D227" i="7" s="1"/>
  <c r="D228" i="7" s="1"/>
  <c r="D229" i="7" s="1"/>
  <c r="D230" i="7" s="1"/>
  <c r="D231" i="7" s="1"/>
  <c r="D232" i="7" s="1"/>
  <c r="D233" i="7" s="1"/>
  <c r="D234" i="7" s="1"/>
  <c r="D235" i="7" s="1"/>
  <c r="D236" i="7" s="1"/>
  <c r="D237" i="7" s="1"/>
  <c r="D238" i="7" s="1"/>
  <c r="D239" i="7" s="1"/>
  <c r="D240" i="7" s="1"/>
  <c r="D241" i="7" s="1"/>
  <c r="D242" i="7" s="1"/>
  <c r="D243" i="7" s="1"/>
  <c r="D244" i="7" s="1"/>
  <c r="D245" i="7" s="1"/>
  <c r="D246" i="7" s="1"/>
  <c r="D247" i="7" s="1"/>
  <c r="D248" i="7" s="1"/>
  <c r="D249" i="7" s="1"/>
  <c r="D250" i="7" s="1"/>
  <c r="D251" i="7" s="1"/>
  <c r="D252" i="7" s="1"/>
  <c r="D253" i="7" s="1"/>
  <c r="D254" i="7" s="1"/>
  <c r="D255" i="7" s="1"/>
  <c r="D256" i="7" s="1"/>
  <c r="D257" i="7" s="1"/>
  <c r="D258" i="7" s="1"/>
  <c r="D259" i="7" s="1"/>
  <c r="D260" i="7" s="1"/>
  <c r="D261" i="7" s="1"/>
  <c r="D262" i="7" s="1"/>
  <c r="D263" i="7" s="1"/>
  <c r="D264" i="7" s="1"/>
  <c r="D265" i="7" s="1"/>
  <c r="D266" i="7" s="1"/>
  <c r="D267" i="7" s="1"/>
  <c r="D268" i="7" s="1"/>
  <c r="D269" i="7" s="1"/>
  <c r="D270" i="7" s="1"/>
  <c r="D271" i="7" s="1"/>
  <c r="D272" i="7" s="1"/>
  <c r="D273" i="7" s="1"/>
  <c r="D274" i="7" s="1"/>
  <c r="D275" i="7" s="1"/>
  <c r="D276" i="7" s="1"/>
  <c r="D277" i="7" s="1"/>
  <c r="D278" i="7" s="1"/>
  <c r="D279" i="7" s="1"/>
  <c r="D280" i="7" s="1"/>
  <c r="D281" i="7" s="1"/>
  <c r="D282" i="7" s="1"/>
  <c r="D283" i="7" s="1"/>
  <c r="D284" i="7" s="1"/>
  <c r="D285" i="7" s="1"/>
  <c r="D286" i="7" s="1"/>
  <c r="D287" i="7" s="1"/>
  <c r="D288" i="7" s="1"/>
  <c r="D289" i="7" s="1"/>
  <c r="D290" i="7" s="1"/>
  <c r="D291" i="7" s="1"/>
  <c r="D292" i="7" s="1"/>
  <c r="D293" i="7" s="1"/>
  <c r="D294" i="7" s="1"/>
  <c r="D295" i="7" s="1"/>
  <c r="D296" i="7" s="1"/>
  <c r="D297" i="7" s="1"/>
  <c r="D298" i="7" s="1"/>
  <c r="D299" i="7" s="1"/>
  <c r="D300" i="7" s="1"/>
  <c r="D301" i="7" s="1"/>
  <c r="D302" i="7" s="1"/>
  <c r="D303" i="7" s="1"/>
  <c r="D304" i="7" s="1"/>
  <c r="D305" i="7" s="1"/>
  <c r="D306" i="7" s="1"/>
  <c r="D307" i="7" s="1"/>
  <c r="D308" i="7" s="1"/>
  <c r="D309" i="7" s="1"/>
  <c r="D310" i="7" s="1"/>
  <c r="D311" i="7" s="1"/>
  <c r="D312" i="7" s="1"/>
  <c r="D313" i="7" s="1"/>
  <c r="D314" i="7" s="1"/>
  <c r="D315" i="7" s="1"/>
  <c r="D316" i="7" s="1"/>
  <c r="D317" i="7" s="1"/>
  <c r="D318" i="7" s="1"/>
  <c r="D319" i="7" s="1"/>
  <c r="D320" i="7" s="1"/>
  <c r="D321" i="7" s="1"/>
  <c r="D322" i="7" s="1"/>
  <c r="D323" i="7" s="1"/>
  <c r="D324" i="7" s="1"/>
  <c r="D325" i="7" s="1"/>
  <c r="D326" i="7" s="1"/>
  <c r="D327" i="7" s="1"/>
  <c r="D328" i="7" s="1"/>
  <c r="D329" i="7" s="1"/>
  <c r="D330" i="7" s="1"/>
  <c r="D331" i="7" s="1"/>
  <c r="D332" i="7" s="1"/>
  <c r="D333" i="7" s="1"/>
  <c r="D334" i="7" s="1"/>
  <c r="D335" i="7" s="1"/>
  <c r="D336" i="7" s="1"/>
  <c r="D337" i="7" s="1"/>
  <c r="D338" i="7" s="1"/>
  <c r="D339" i="7" s="1"/>
  <c r="D340" i="7" s="1"/>
  <c r="D341" i="7" s="1"/>
  <c r="D342" i="7" s="1"/>
  <c r="D343" i="7" s="1"/>
  <c r="D344" i="7" s="1"/>
  <c r="D345" i="7" s="1"/>
  <c r="D346" i="7" s="1"/>
  <c r="D347" i="7" s="1"/>
  <c r="D348" i="7" s="1"/>
  <c r="D349" i="7" s="1"/>
  <c r="D350" i="7" s="1"/>
  <c r="D351" i="7" s="1"/>
  <c r="D352" i="7" s="1"/>
  <c r="D353" i="7" s="1"/>
  <c r="D354" i="7" s="1"/>
  <c r="D355" i="7" s="1"/>
  <c r="D356" i="7" s="1"/>
  <c r="D357" i="7" s="1"/>
  <c r="D358" i="7" s="1"/>
  <c r="D359" i="7" s="1"/>
  <c r="D360" i="7" s="1"/>
  <c r="D361" i="7" s="1"/>
  <c r="D362" i="7" s="1"/>
  <c r="D363" i="7" s="1"/>
  <c r="D364" i="7" s="1"/>
  <c r="D365" i="7" s="1"/>
  <c r="D366" i="7" s="1"/>
  <c r="D367" i="7" s="1"/>
  <c r="D368" i="7" s="1"/>
  <c r="D369" i="7" s="1"/>
  <c r="D370" i="7" s="1"/>
  <c r="D371" i="7" s="1"/>
  <c r="D372" i="7" s="1"/>
  <c r="D373" i="7" s="1"/>
  <c r="D374" i="7" s="1"/>
  <c r="D375" i="7" s="1"/>
  <c r="D376" i="7" s="1"/>
  <c r="D377" i="7" s="1"/>
  <c r="D378" i="7" s="1"/>
  <c r="D379" i="7" s="1"/>
  <c r="D380" i="7" s="1"/>
  <c r="D381" i="7" s="1"/>
  <c r="D382" i="7" s="1"/>
  <c r="D383" i="7" s="1"/>
  <c r="D384" i="7" s="1"/>
  <c r="D385" i="7" s="1"/>
  <c r="D386" i="7" s="1"/>
  <c r="D387" i="7" s="1"/>
  <c r="D388" i="7" s="1"/>
  <c r="D389" i="7" s="1"/>
  <c r="D390" i="7" s="1"/>
  <c r="D391" i="7" s="1"/>
  <c r="D392" i="7" s="1"/>
  <c r="D393" i="7" s="1"/>
  <c r="D394" i="7" s="1"/>
  <c r="D395" i="7" s="1"/>
  <c r="D396" i="7" s="1"/>
  <c r="D397" i="7" s="1"/>
  <c r="D398" i="7" s="1"/>
  <c r="I6" i="7"/>
  <c r="I8" i="7" s="1"/>
  <c r="I9" i="7" s="1"/>
  <c r="I40" i="7" s="1"/>
  <c r="I66" i="7"/>
  <c r="I54" i="7"/>
  <c r="I44" i="7"/>
  <c r="F10" i="8"/>
  <c r="D8" i="8"/>
  <c r="I8" i="8" s="1"/>
  <c r="O8" i="8" s="1"/>
  <c r="D10" i="8"/>
  <c r="I10" i="8" s="1"/>
  <c r="O10" i="8" s="1"/>
  <c r="R7" i="8"/>
  <c r="L7" i="8" s="1"/>
  <c r="F9" i="8"/>
  <c r="D9" i="8"/>
  <c r="I9" i="8" s="1"/>
  <c r="O9" i="8" s="1"/>
  <c r="R8" i="8"/>
  <c r="S8" i="8" s="1"/>
  <c r="D11" i="8"/>
  <c r="I11" i="8" s="1"/>
  <c r="O11" i="8" s="1"/>
  <c r="L8" i="8"/>
  <c r="I7" i="8"/>
  <c r="G8" i="8"/>
  <c r="G7" i="8"/>
  <c r="I73" i="7"/>
  <c r="I63" i="7"/>
  <c r="I49" i="7"/>
  <c r="I51" i="7"/>
  <c r="I45" i="7"/>
  <c r="Z55" i="1"/>
  <c r="Z48" i="1"/>
  <c r="AD57" i="1"/>
  <c r="AC58" i="1"/>
  <c r="AA57" i="1"/>
  <c r="Z58" i="1"/>
  <c r="X57" i="1"/>
  <c r="AC48" i="1"/>
  <c r="AC55" i="1"/>
  <c r="AG57" i="1"/>
  <c r="S9" i="8"/>
  <c r="S11" i="8"/>
  <c r="C4" i="7"/>
  <c r="C14" i="5"/>
  <c r="C15" i="5" s="1"/>
  <c r="C9" i="3"/>
  <c r="S10" i="8"/>
  <c r="L10" i="8"/>
  <c r="S7" i="8"/>
  <c r="R12" i="8"/>
  <c r="F14" i="5"/>
  <c r="F17" i="5" s="1"/>
  <c r="F9" i="3"/>
  <c r="E10" i="3"/>
  <c r="E11" i="3" s="1"/>
  <c r="D60" i="3"/>
  <c r="E60" i="3" s="1"/>
  <c r="F60" i="3" s="1"/>
  <c r="G60" i="3" s="1"/>
  <c r="H60" i="3" s="1"/>
  <c r="I60" i="3" s="1"/>
  <c r="J60" i="3" s="1"/>
  <c r="K60" i="3" s="1"/>
  <c r="L60" i="3" s="1"/>
  <c r="M60" i="3" s="1"/>
  <c r="N60" i="3" s="1"/>
  <c r="AF28" i="1"/>
  <c r="AF58" i="1" s="1"/>
  <c r="AT26" i="1"/>
  <c r="T60" i="1"/>
  <c r="U28" i="1"/>
  <c r="AA28" i="1"/>
  <c r="AN28" i="1" s="1"/>
  <c r="Z60" i="1"/>
  <c r="Z61" i="1" s="1"/>
  <c r="X26" i="1"/>
  <c r="W28" i="1"/>
  <c r="W58" i="1" s="1"/>
  <c r="AD28" i="1"/>
  <c r="AP28" i="1" s="1"/>
  <c r="AC60" i="1"/>
  <c r="AC61" i="1" s="1"/>
  <c r="AG28" i="1"/>
  <c r="AR28" i="1" s="1"/>
  <c r="AF60" i="1"/>
  <c r="AF61" i="1" s="1"/>
  <c r="I64" i="7" l="1"/>
  <c r="I42" i="7"/>
  <c r="I50" i="7"/>
  <c r="I74" i="7"/>
  <c r="I68" i="7"/>
  <c r="I52" i="7"/>
  <c r="D16" i="7" s="1"/>
  <c r="D30" i="7" s="1"/>
  <c r="I59" i="7"/>
  <c r="I39" i="7"/>
  <c r="L50" i="7" s="1"/>
  <c r="I61" i="7"/>
  <c r="I56" i="7"/>
  <c r="I58" i="7"/>
  <c r="I60" i="7"/>
  <c r="I69" i="7"/>
  <c r="I65" i="7"/>
  <c r="I53" i="7"/>
  <c r="L62" i="7" s="1"/>
  <c r="I41" i="7"/>
  <c r="I67" i="7"/>
  <c r="I46" i="7"/>
  <c r="I70" i="7"/>
  <c r="I55" i="7"/>
  <c r="I48" i="7"/>
  <c r="I47" i="7"/>
  <c r="I57" i="7"/>
  <c r="I62" i="7"/>
  <c r="I72" i="7"/>
  <c r="I71" i="7"/>
  <c r="I43" i="7"/>
  <c r="I41" i="3"/>
  <c r="H98" i="3"/>
  <c r="H100" i="3" s="1"/>
  <c r="H93" i="3"/>
  <c r="H95" i="3" s="1"/>
  <c r="L74" i="7"/>
  <c r="P8" i="8"/>
  <c r="L9" i="8"/>
  <c r="M9" i="8" s="1"/>
  <c r="G9" i="8"/>
  <c r="G10" i="8"/>
  <c r="L11" i="8"/>
  <c r="F12" i="8"/>
  <c r="C7" i="5" s="1"/>
  <c r="G11" i="8"/>
  <c r="D12" i="8"/>
  <c r="E9" i="8" s="1"/>
  <c r="M8" i="8"/>
  <c r="H7" i="3"/>
  <c r="I12" i="8"/>
  <c r="O12" i="8" s="1"/>
  <c r="O7" i="8"/>
  <c r="P7" i="8" s="1"/>
  <c r="E8" i="8"/>
  <c r="D15" i="7"/>
  <c r="C30" i="7" s="1"/>
  <c r="W55" i="1"/>
  <c r="W48" i="1"/>
  <c r="C10" i="3"/>
  <c r="G9" i="3"/>
  <c r="AF48" i="1"/>
  <c r="AF55" i="1"/>
  <c r="M7" i="8"/>
  <c r="C17" i="5"/>
  <c r="M10" i="8"/>
  <c r="P10" i="8"/>
  <c r="F39" i="7"/>
  <c r="C10" i="7"/>
  <c r="P9" i="8"/>
  <c r="F10" i="3"/>
  <c r="F11" i="3" s="1"/>
  <c r="S12" i="8"/>
  <c r="AL9" i="1" s="1"/>
  <c r="M11" i="8"/>
  <c r="P11" i="8"/>
  <c r="AG60" i="1"/>
  <c r="AF65" i="1"/>
  <c r="AG65" i="1" s="1"/>
  <c r="U60" i="1"/>
  <c r="T65" i="1"/>
  <c r="U65" i="1" s="1"/>
  <c r="AT28" i="1"/>
  <c r="AD60" i="1"/>
  <c r="AC65" i="1"/>
  <c r="AD65" i="1" s="1"/>
  <c r="Z65" i="1"/>
  <c r="AA65" i="1" s="1"/>
  <c r="AA60" i="1"/>
  <c r="X28" i="1"/>
  <c r="W60" i="1"/>
  <c r="W61" i="1" s="1"/>
  <c r="I93" i="3" l="1"/>
  <c r="I95" i="3" s="1"/>
  <c r="I98" i="3"/>
  <c r="I100" i="3" s="1"/>
  <c r="J41" i="3"/>
  <c r="D17" i="7"/>
  <c r="E30" i="7" s="1"/>
  <c r="H9" i="3"/>
  <c r="H8" i="3"/>
  <c r="D8" i="3" s="1"/>
  <c r="D14" i="3" s="1"/>
  <c r="D14" i="5" s="1"/>
  <c r="D17" i="5" s="1"/>
  <c r="L12" i="8"/>
  <c r="M12" i="8" s="1"/>
  <c r="G12" i="8"/>
  <c r="E11" i="8"/>
  <c r="E7" i="8"/>
  <c r="E12" i="8" s="1"/>
  <c r="E10" i="8"/>
  <c r="C24" i="3"/>
  <c r="C9" i="7"/>
  <c r="C25" i="3"/>
  <c r="H39" i="7"/>
  <c r="J39" i="7"/>
  <c r="F40" i="7" s="1"/>
  <c r="G10" i="3"/>
  <c r="H10" i="3"/>
  <c r="P12" i="8"/>
  <c r="D45" i="3"/>
  <c r="AL12" i="1"/>
  <c r="C11" i="3"/>
  <c r="X60" i="1"/>
  <c r="W65" i="1"/>
  <c r="X65" i="1" s="1"/>
  <c r="J93" i="3" l="1"/>
  <c r="K41" i="3"/>
  <c r="J98" i="3"/>
  <c r="D9" i="3"/>
  <c r="D10" i="3" s="1"/>
  <c r="D11" i="3"/>
  <c r="G39" i="7"/>
  <c r="AL16" i="1"/>
  <c r="D51" i="3" s="1"/>
  <c r="AL15" i="1"/>
  <c r="D50" i="3" s="1"/>
  <c r="AL14" i="1"/>
  <c r="D49" i="3" s="1"/>
  <c r="C99" i="3"/>
  <c r="C101" i="3" s="1"/>
  <c r="G11" i="3"/>
  <c r="H11" i="3"/>
  <c r="E45" i="3"/>
  <c r="D47" i="3"/>
  <c r="H40" i="7"/>
  <c r="G40" i="7" s="1"/>
  <c r="J40" i="7"/>
  <c r="F41" i="7" s="1"/>
  <c r="K98" i="3" l="1"/>
  <c r="K93" i="3"/>
  <c r="K77" i="3"/>
  <c r="K81" i="3" s="1"/>
  <c r="L41" i="3"/>
  <c r="K112" i="3"/>
  <c r="F45" i="3"/>
  <c r="E46" i="3"/>
  <c r="E47" i="3" s="1"/>
  <c r="AL18" i="1"/>
  <c r="AL28" i="1" s="1"/>
  <c r="J41" i="7"/>
  <c r="F42" i="7" s="1"/>
  <c r="H41" i="7"/>
  <c r="G41" i="7" s="1"/>
  <c r="D52" i="3"/>
  <c r="D56" i="3" s="1"/>
  <c r="L112" i="3" l="1"/>
  <c r="L98" i="3"/>
  <c r="L93" i="3"/>
  <c r="M41" i="3"/>
  <c r="L77" i="3"/>
  <c r="L81" i="3" s="1"/>
  <c r="K100" i="3"/>
  <c r="K99" i="3"/>
  <c r="K94" i="3"/>
  <c r="K96" i="3" s="1"/>
  <c r="K95" i="3"/>
  <c r="J42" i="7"/>
  <c r="F43" i="7" s="1"/>
  <c r="H42" i="7"/>
  <c r="G45" i="3"/>
  <c r="F46" i="3"/>
  <c r="F47" i="3" s="1"/>
  <c r="AL48" i="1"/>
  <c r="AL50" i="1"/>
  <c r="E50" i="3"/>
  <c r="E51" i="3"/>
  <c r="E49" i="3"/>
  <c r="L95" i="3" l="1"/>
  <c r="L94" i="3"/>
  <c r="L100" i="3"/>
  <c r="L99" i="3"/>
  <c r="K101" i="3"/>
  <c r="M112" i="3"/>
  <c r="N41" i="3"/>
  <c r="M98" i="3"/>
  <c r="M77" i="3"/>
  <c r="M81" i="3" s="1"/>
  <c r="M93" i="3"/>
  <c r="E52" i="3"/>
  <c r="E56" i="3" s="1"/>
  <c r="E57" i="3" s="1"/>
  <c r="H43" i="7"/>
  <c r="G43" i="7" s="1"/>
  <c r="J43" i="7"/>
  <c r="F44" i="7" s="1"/>
  <c r="F51" i="3"/>
  <c r="F49" i="3"/>
  <c r="F50" i="3"/>
  <c r="AL54" i="1"/>
  <c r="D62" i="3"/>
  <c r="D65" i="3" s="1"/>
  <c r="D67" i="3" s="1"/>
  <c r="G46" i="3"/>
  <c r="G47" i="3" s="1"/>
  <c r="H45" i="3"/>
  <c r="G42" i="7"/>
  <c r="N98" i="3" l="1"/>
  <c r="N77" i="3"/>
  <c r="N81" i="3" s="1"/>
  <c r="N93" i="3"/>
  <c r="N112" i="3"/>
  <c r="L101" i="3"/>
  <c r="M99" i="3"/>
  <c r="M100" i="3"/>
  <c r="M95" i="3"/>
  <c r="M94" i="3"/>
  <c r="M96" i="3" s="1"/>
  <c r="L96" i="3"/>
  <c r="E62" i="3"/>
  <c r="E65" i="3" s="1"/>
  <c r="E67" i="3" s="1"/>
  <c r="E68" i="3" s="1"/>
  <c r="F52" i="3"/>
  <c r="F56" i="3" s="1"/>
  <c r="F57" i="3" s="1"/>
  <c r="I45" i="3"/>
  <c r="H46" i="3"/>
  <c r="H47" i="3" s="1"/>
  <c r="H44" i="7"/>
  <c r="J44" i="7"/>
  <c r="F45" i="7" s="1"/>
  <c r="G51" i="3"/>
  <c r="G49" i="3"/>
  <c r="G50" i="3"/>
  <c r="D68" i="3"/>
  <c r="D70" i="3"/>
  <c r="D74" i="3" s="1"/>
  <c r="AL57" i="1"/>
  <c r="AL55" i="1"/>
  <c r="M101" i="3" l="1"/>
  <c r="N95" i="3"/>
  <c r="N94" i="3"/>
  <c r="N96" i="3" s="1"/>
  <c r="N100" i="3"/>
  <c r="N99" i="3"/>
  <c r="N101" i="3" s="1"/>
  <c r="E70" i="3"/>
  <c r="E74" i="3" s="1"/>
  <c r="E39" i="3" s="1"/>
  <c r="F62" i="3"/>
  <c r="F65" i="3" s="1"/>
  <c r="F67" i="3" s="1"/>
  <c r="F68" i="3" s="1"/>
  <c r="G52" i="3"/>
  <c r="G56" i="3" s="1"/>
  <c r="G62" i="3" s="1"/>
  <c r="G65" i="3" s="1"/>
  <c r="G67" i="3" s="1"/>
  <c r="H45" i="7"/>
  <c r="J45" i="7"/>
  <c r="F46" i="7" s="1"/>
  <c r="AL58" i="1"/>
  <c r="AL60" i="1"/>
  <c r="D39" i="3"/>
  <c r="D94" i="3"/>
  <c r="D96" i="3" s="1"/>
  <c r="D106" i="3"/>
  <c r="G44" i="7"/>
  <c r="H50" i="3"/>
  <c r="H51" i="3"/>
  <c r="H49" i="3"/>
  <c r="J45" i="3"/>
  <c r="I46" i="3"/>
  <c r="I47" i="3" s="1"/>
  <c r="E94" i="3" l="1"/>
  <c r="E96" i="3" s="1"/>
  <c r="E106" i="3"/>
  <c r="D28" i="5" s="1"/>
  <c r="G57" i="3"/>
  <c r="F70" i="3"/>
  <c r="F74" i="3" s="1"/>
  <c r="G68" i="3"/>
  <c r="G70" i="3"/>
  <c r="G74" i="3" s="1"/>
  <c r="G106" i="3" s="1"/>
  <c r="H52" i="3"/>
  <c r="H56" i="3" s="1"/>
  <c r="H57" i="3" s="1"/>
  <c r="AL61" i="1"/>
  <c r="AL65" i="1"/>
  <c r="K45" i="3"/>
  <c r="J46" i="3"/>
  <c r="J47" i="3" s="1"/>
  <c r="G45" i="7"/>
  <c r="I50" i="3"/>
  <c r="I49" i="3"/>
  <c r="I51" i="3"/>
  <c r="C28" i="5"/>
  <c r="J46" i="7"/>
  <c r="F47" i="7" s="1"/>
  <c r="H46" i="7"/>
  <c r="G46" i="7" s="1"/>
  <c r="G94" i="3" l="1"/>
  <c r="G96" i="3" s="1"/>
  <c r="F106" i="3"/>
  <c r="F94" i="3"/>
  <c r="F96" i="3" s="1"/>
  <c r="F39" i="3"/>
  <c r="G39" i="3"/>
  <c r="H62" i="3"/>
  <c r="H65" i="3" s="1"/>
  <c r="H67" i="3" s="1"/>
  <c r="H68" i="3" s="1"/>
  <c r="I52" i="3"/>
  <c r="I56" i="3" s="1"/>
  <c r="I57" i="3" s="1"/>
  <c r="K46" i="3"/>
  <c r="K47" i="3" s="1"/>
  <c r="L45" i="3"/>
  <c r="H47" i="7"/>
  <c r="G47" i="7" s="1"/>
  <c r="J47" i="7"/>
  <c r="F48" i="7" s="1"/>
  <c r="F28" i="5"/>
  <c r="J49" i="3"/>
  <c r="J51" i="3"/>
  <c r="J50" i="3"/>
  <c r="I62" i="3" l="1"/>
  <c r="I65" i="3" s="1"/>
  <c r="I67" i="3" s="1"/>
  <c r="I68" i="3" s="1"/>
  <c r="E28" i="5"/>
  <c r="H70" i="3"/>
  <c r="H74" i="3" s="1"/>
  <c r="J52" i="3"/>
  <c r="J56" i="3" s="1"/>
  <c r="J57" i="3" s="1"/>
  <c r="K50" i="3"/>
  <c r="K49" i="3"/>
  <c r="K51" i="3"/>
  <c r="H48" i="7"/>
  <c r="G48" i="7" s="1"/>
  <c r="J48" i="7"/>
  <c r="F49" i="7" s="1"/>
  <c r="M45" i="3"/>
  <c r="L46" i="3"/>
  <c r="L47" i="3" s="1"/>
  <c r="J62" i="3" l="1"/>
  <c r="J65" i="3" s="1"/>
  <c r="J67" i="3" s="1"/>
  <c r="J68" i="3" s="1"/>
  <c r="I70" i="3"/>
  <c r="I74" i="3" s="1"/>
  <c r="H39" i="3"/>
  <c r="H94" i="3"/>
  <c r="H96" i="3" s="1"/>
  <c r="H106" i="3"/>
  <c r="K52" i="3"/>
  <c r="K56" i="3" s="1"/>
  <c r="K62" i="3" s="1"/>
  <c r="K65" i="3" s="1"/>
  <c r="K67" i="3" s="1"/>
  <c r="K68" i="3" s="1"/>
  <c r="N45" i="3"/>
  <c r="N46" i="3" s="1"/>
  <c r="N47" i="3" s="1"/>
  <c r="M46" i="3"/>
  <c r="M47" i="3" s="1"/>
  <c r="L51" i="3"/>
  <c r="L49" i="3"/>
  <c r="L50" i="3"/>
  <c r="H49" i="7"/>
  <c r="G49" i="7" s="1"/>
  <c r="J49" i="7"/>
  <c r="F50" i="7" s="1"/>
  <c r="J70" i="3" l="1"/>
  <c r="J74" i="3" s="1"/>
  <c r="J106" i="3" s="1"/>
  <c r="I28" i="5" s="1"/>
  <c r="I106" i="3"/>
  <c r="I94" i="3"/>
  <c r="I96" i="3" s="1"/>
  <c r="I39" i="3"/>
  <c r="G28" i="5"/>
  <c r="L52" i="3"/>
  <c r="L56" i="3" s="1"/>
  <c r="L62" i="3" s="1"/>
  <c r="L65" i="3" s="1"/>
  <c r="L67" i="3" s="1"/>
  <c r="L68" i="3" s="1"/>
  <c r="K57" i="3"/>
  <c r="M51" i="3"/>
  <c r="M50" i="3"/>
  <c r="M49" i="3"/>
  <c r="K70" i="3"/>
  <c r="K74" i="3" s="1"/>
  <c r="N49" i="3"/>
  <c r="N51" i="3"/>
  <c r="N50" i="3"/>
  <c r="H50" i="7"/>
  <c r="J50" i="7"/>
  <c r="J94" i="3" l="1"/>
  <c r="J39" i="3"/>
  <c r="N52" i="3"/>
  <c r="N56" i="3" s="1"/>
  <c r="N62" i="3" s="1"/>
  <c r="N65" i="3" s="1"/>
  <c r="N67" i="3" s="1"/>
  <c r="N68" i="3" s="1"/>
  <c r="M52" i="3"/>
  <c r="M56" i="3" s="1"/>
  <c r="M62" i="3" s="1"/>
  <c r="M65" i="3" s="1"/>
  <c r="M67" i="3" s="1"/>
  <c r="M68" i="3" s="1"/>
  <c r="H28" i="5"/>
  <c r="L57" i="3"/>
  <c r="M57" i="3"/>
  <c r="E15" i="7"/>
  <c r="C33" i="7" s="1"/>
  <c r="F51" i="7"/>
  <c r="G50" i="7"/>
  <c r="K50" i="7"/>
  <c r="M50" i="7" s="1"/>
  <c r="L70" i="3"/>
  <c r="L74" i="3" s="1"/>
  <c r="K39" i="3"/>
  <c r="C31" i="3" s="1"/>
  <c r="K79" i="3"/>
  <c r="K107" i="3" s="1"/>
  <c r="K106" i="3"/>
  <c r="N57" i="3" l="1"/>
  <c r="N70" i="3"/>
  <c r="N74" i="3" s="1"/>
  <c r="N39" i="3" s="1"/>
  <c r="M70" i="3"/>
  <c r="M74" i="3" s="1"/>
  <c r="G31" i="3"/>
  <c r="C33" i="3"/>
  <c r="G33" i="3" s="1"/>
  <c r="L79" i="3"/>
  <c r="L107" i="3" s="1"/>
  <c r="L39" i="3"/>
  <c r="L106" i="3"/>
  <c r="J28" i="5"/>
  <c r="J29" i="5"/>
  <c r="J51" i="7"/>
  <c r="F52" i="7" s="1"/>
  <c r="H51" i="7"/>
  <c r="C34" i="3" l="1"/>
  <c r="G34" i="3" s="1"/>
  <c r="N79" i="3"/>
  <c r="N107" i="3" s="1"/>
  <c r="M29" i="5" s="1"/>
  <c r="N106" i="3"/>
  <c r="K29" i="5"/>
  <c r="J52" i="7"/>
  <c r="F53" i="7" s="1"/>
  <c r="H52" i="7"/>
  <c r="G52" i="7" s="1"/>
  <c r="K28" i="5"/>
  <c r="G51" i="7"/>
  <c r="M39" i="3"/>
  <c r="M79" i="3"/>
  <c r="M107" i="3" s="1"/>
  <c r="M106" i="3"/>
  <c r="J95" i="3" l="1"/>
  <c r="J96" i="3" s="1"/>
  <c r="B96" i="3" s="1"/>
  <c r="C21" i="5" s="1"/>
  <c r="M28" i="5"/>
  <c r="L29" i="5"/>
  <c r="L28" i="5"/>
  <c r="J53" i="7"/>
  <c r="F54" i="7" s="1"/>
  <c r="H53" i="7"/>
  <c r="D104" i="3" l="1"/>
  <c r="C26" i="5" s="1"/>
  <c r="J54" i="7"/>
  <c r="F55" i="7" s="1"/>
  <c r="H54" i="7"/>
  <c r="G53" i="7"/>
  <c r="G54" i="7" l="1"/>
  <c r="J55" i="7"/>
  <c r="F56" i="7" s="1"/>
  <c r="H55" i="7"/>
  <c r="G55" i="7" l="1"/>
  <c r="J56" i="7"/>
  <c r="F57" i="7" s="1"/>
  <c r="H56" i="7"/>
  <c r="G56" i="7" s="1"/>
  <c r="H57" i="7" l="1"/>
  <c r="J57" i="7"/>
  <c r="F58" i="7" s="1"/>
  <c r="G57" i="7" l="1"/>
  <c r="H58" i="7"/>
  <c r="G58" i="7" s="1"/>
  <c r="J58" i="7"/>
  <c r="F59" i="7" s="1"/>
  <c r="H59" i="7" l="1"/>
  <c r="J59" i="7"/>
  <c r="F60" i="7" s="1"/>
  <c r="G59" i="7" l="1"/>
  <c r="H60" i="7"/>
  <c r="G60" i="7" s="1"/>
  <c r="J60" i="7"/>
  <c r="F61" i="7" s="1"/>
  <c r="H61" i="7" l="1"/>
  <c r="G61" i="7" s="1"/>
  <c r="J61" i="7"/>
  <c r="F62" i="7" s="1"/>
  <c r="H62" i="7" l="1"/>
  <c r="J62" i="7"/>
  <c r="G62" i="7" l="1"/>
  <c r="K62" i="7"/>
  <c r="M62" i="7" s="1"/>
  <c r="F63" i="7"/>
  <c r="E16" i="7"/>
  <c r="D33" i="7" s="1"/>
  <c r="H63" i="7" l="1"/>
  <c r="J63" i="7"/>
  <c r="F64" i="7" s="1"/>
  <c r="G63" i="7" l="1"/>
  <c r="J64" i="7"/>
  <c r="F65" i="7" s="1"/>
  <c r="H64" i="7"/>
  <c r="G64" i="7" s="1"/>
  <c r="H65" i="7" l="1"/>
  <c r="J65" i="7"/>
  <c r="F66" i="7" s="1"/>
  <c r="J66" i="7" l="1"/>
  <c r="F67" i="7" s="1"/>
  <c r="H66" i="7"/>
  <c r="G65" i="7"/>
  <c r="G66" i="7" l="1"/>
  <c r="J67" i="7"/>
  <c r="F68" i="7" s="1"/>
  <c r="H67" i="7"/>
  <c r="G67" i="7" l="1"/>
  <c r="J68" i="7"/>
  <c r="F69" i="7" s="1"/>
  <c r="H68" i="7"/>
  <c r="G68" i="7" s="1"/>
  <c r="H69" i="7" l="1"/>
  <c r="J69" i="7"/>
  <c r="F70" i="7" s="1"/>
  <c r="H70" i="7" l="1"/>
  <c r="G70" i="7" s="1"/>
  <c r="J70" i="7"/>
  <c r="F71" i="7" s="1"/>
  <c r="G69" i="7"/>
  <c r="J71" i="7" l="1"/>
  <c r="F72" i="7" s="1"/>
  <c r="H71" i="7"/>
  <c r="G71" i="7" l="1"/>
  <c r="H72" i="7"/>
  <c r="G72" i="7" s="1"/>
  <c r="J72" i="7"/>
  <c r="F73" i="7" s="1"/>
  <c r="H73" i="7" l="1"/>
  <c r="G73" i="7" s="1"/>
  <c r="J73" i="7"/>
  <c r="F74" i="7" s="1"/>
  <c r="J74" i="7" l="1"/>
  <c r="H74" i="7"/>
  <c r="G74" i="7" l="1"/>
  <c r="K74" i="7"/>
  <c r="M74" i="7" s="1"/>
  <c r="F75" i="7"/>
  <c r="E17" i="7"/>
  <c r="E33" i="7" s="1"/>
  <c r="H75" i="7" l="1"/>
  <c r="I75" i="7" l="1"/>
  <c r="J75" i="7" l="1"/>
  <c r="F76" i="7" s="1"/>
  <c r="G75" i="7"/>
  <c r="H76" i="7" l="1"/>
  <c r="I76" i="7" l="1"/>
  <c r="J76" i="7" l="1"/>
  <c r="F77" i="7" s="1"/>
  <c r="G76" i="7"/>
  <c r="H77" i="7" l="1"/>
  <c r="I77" i="7" l="1"/>
  <c r="J77" i="7" l="1"/>
  <c r="F78" i="7" s="1"/>
  <c r="G77" i="7"/>
  <c r="H78" i="7" l="1"/>
  <c r="I78" i="7" l="1"/>
  <c r="J78" i="7" l="1"/>
  <c r="F79" i="7" s="1"/>
  <c r="G78" i="7"/>
  <c r="H79" i="7" l="1"/>
  <c r="I79" i="7" l="1"/>
  <c r="J79" i="7" l="1"/>
  <c r="F80" i="7" s="1"/>
  <c r="G79" i="7"/>
  <c r="H80" i="7" l="1"/>
  <c r="I80" i="7" l="1"/>
  <c r="J80" i="7" s="1"/>
  <c r="F81" i="7" s="1"/>
  <c r="H81" i="7" l="1"/>
  <c r="G80" i="7"/>
  <c r="I81" i="7" l="1"/>
  <c r="J81" i="7" s="1"/>
  <c r="F82" i="7" s="1"/>
  <c r="H82" i="7" l="1"/>
  <c r="G81" i="7"/>
  <c r="I82" i="7" l="1"/>
  <c r="J82" i="7" s="1"/>
  <c r="F83" i="7" s="1"/>
  <c r="H83" i="7" l="1"/>
  <c r="G82" i="7"/>
  <c r="I83" i="7" l="1"/>
  <c r="J83" i="7" s="1"/>
  <c r="F84" i="7" s="1"/>
  <c r="H84" i="7" l="1"/>
  <c r="G83" i="7"/>
  <c r="I84" i="7" l="1"/>
  <c r="J84" i="7" s="1"/>
  <c r="F85" i="7" s="1"/>
  <c r="H85" i="7" l="1"/>
  <c r="G84" i="7"/>
  <c r="I85" i="7" l="1"/>
  <c r="J85" i="7" s="1"/>
  <c r="F86" i="7" s="1"/>
  <c r="H86" i="7" l="1"/>
  <c r="G85" i="7"/>
  <c r="I86" i="7" l="1"/>
  <c r="K86" i="7"/>
  <c r="L86" i="7" l="1"/>
  <c r="M86" i="7" s="1"/>
  <c r="J86" i="7"/>
  <c r="G86" i="7"/>
  <c r="F87" i="7" l="1"/>
  <c r="E18" i="7"/>
  <c r="F33" i="7" s="1"/>
  <c r="H87" i="7" l="1"/>
  <c r="I87" i="7" l="1"/>
  <c r="J87" i="7" l="1"/>
  <c r="F88" i="7" s="1"/>
  <c r="G87" i="7"/>
  <c r="H88" i="7" l="1"/>
  <c r="I88" i="7" l="1"/>
  <c r="J88" i="7" l="1"/>
  <c r="F89" i="7" s="1"/>
  <c r="G88" i="7"/>
  <c r="H89" i="7" l="1"/>
  <c r="I89" i="7" l="1"/>
  <c r="G89" i="7" s="1"/>
  <c r="J89" i="7" l="1"/>
  <c r="F90" i="7" s="1"/>
  <c r="H90" i="7" l="1"/>
  <c r="I90" i="7" l="1"/>
  <c r="G90" i="7" s="1"/>
  <c r="J90" i="7" l="1"/>
  <c r="F91" i="7" s="1"/>
  <c r="H91" i="7" l="1"/>
  <c r="I91" i="7" l="1"/>
  <c r="G91" i="7" s="1"/>
  <c r="J91" i="7" l="1"/>
  <c r="F92" i="7" s="1"/>
  <c r="H92" i="7" l="1"/>
  <c r="I92" i="7" l="1"/>
  <c r="J92" i="7" s="1"/>
  <c r="F93" i="7" s="1"/>
  <c r="G92" i="7" l="1"/>
  <c r="H93" i="7"/>
  <c r="I93" i="7" l="1"/>
  <c r="J93" i="7" s="1"/>
  <c r="F94" i="7" s="1"/>
  <c r="G93" i="7" l="1"/>
  <c r="H94" i="7"/>
  <c r="I94" i="7" l="1"/>
  <c r="J94" i="7" s="1"/>
  <c r="F95" i="7" s="1"/>
  <c r="G94" i="7" l="1"/>
  <c r="H95" i="7"/>
  <c r="I95" i="7" l="1"/>
  <c r="J95" i="7" s="1"/>
  <c r="F96" i="7" s="1"/>
  <c r="G95" i="7" l="1"/>
  <c r="H96" i="7"/>
  <c r="I96" i="7" l="1"/>
  <c r="J96" i="7" s="1"/>
  <c r="F97" i="7" s="1"/>
  <c r="G96" i="7" l="1"/>
  <c r="H97" i="7"/>
  <c r="I97" i="7" l="1"/>
  <c r="J97" i="7" s="1"/>
  <c r="F98" i="7" s="1"/>
  <c r="G97" i="7" l="1"/>
  <c r="H98" i="7"/>
  <c r="I98" i="7" l="1"/>
  <c r="G98" i="7" s="1"/>
  <c r="K98" i="7"/>
  <c r="L98" i="7" l="1"/>
  <c r="M98" i="7" s="1"/>
  <c r="J98" i="7"/>
  <c r="F99" i="7" l="1"/>
  <c r="E19" i="7"/>
  <c r="G33" i="7" s="1"/>
  <c r="H99" i="7" l="1"/>
  <c r="I99" i="7" l="1"/>
  <c r="J99" i="7" l="1"/>
  <c r="F100" i="7" s="1"/>
  <c r="G99" i="7"/>
  <c r="H100" i="7" l="1"/>
  <c r="I100" i="7" l="1"/>
  <c r="G100" i="7" s="1"/>
  <c r="J100" i="7" l="1"/>
  <c r="F101" i="7" s="1"/>
  <c r="H101" i="7" l="1"/>
  <c r="I101" i="7" l="1"/>
  <c r="G101" i="7" s="1"/>
  <c r="J101" i="7" l="1"/>
  <c r="F102" i="7" s="1"/>
  <c r="H102" i="7" l="1"/>
  <c r="I102" i="7" l="1"/>
  <c r="G102" i="7" s="1"/>
  <c r="J102" i="7" l="1"/>
  <c r="F103" i="7" s="1"/>
  <c r="H103" i="7" l="1"/>
  <c r="I103" i="7" l="1"/>
  <c r="J103" i="7" l="1"/>
  <c r="F104" i="7" s="1"/>
  <c r="G103" i="7"/>
  <c r="H104" i="7" l="1"/>
  <c r="I104" i="7" l="1"/>
  <c r="J104" i="7" s="1"/>
  <c r="F105" i="7" s="1"/>
  <c r="G104" i="7" l="1"/>
  <c r="H105" i="7"/>
  <c r="I105" i="7" l="1"/>
  <c r="J105" i="7" s="1"/>
  <c r="F106" i="7" s="1"/>
  <c r="H106" i="7" l="1"/>
  <c r="G105" i="7"/>
  <c r="I106" i="7" l="1"/>
  <c r="J106" i="7" s="1"/>
  <c r="F107" i="7" s="1"/>
  <c r="G106" i="7" l="1"/>
  <c r="H107" i="7"/>
  <c r="I107" i="7" l="1"/>
  <c r="J107" i="7" s="1"/>
  <c r="F108" i="7" s="1"/>
  <c r="G107" i="7" l="1"/>
  <c r="H108" i="7"/>
  <c r="I108" i="7" l="1"/>
  <c r="J108" i="7" s="1"/>
  <c r="F109" i="7" s="1"/>
  <c r="H109" i="7" l="1"/>
  <c r="G108" i="7"/>
  <c r="I109" i="7" l="1"/>
  <c r="J109" i="7" s="1"/>
  <c r="F110" i="7" s="1"/>
  <c r="H110" i="7" l="1"/>
  <c r="G109" i="7"/>
  <c r="I110" i="7" l="1"/>
  <c r="K110" i="7"/>
  <c r="L110" i="7" l="1"/>
  <c r="M110" i="7" s="1"/>
  <c r="J110" i="7"/>
  <c r="G110" i="7"/>
  <c r="F111" i="7" l="1"/>
  <c r="E20" i="7"/>
  <c r="H33" i="7" s="1"/>
  <c r="H111" i="7" l="1"/>
  <c r="I111" i="7" l="1"/>
  <c r="J111" i="7" l="1"/>
  <c r="F112" i="7" s="1"/>
  <c r="G111" i="7"/>
  <c r="H112" i="7" l="1"/>
  <c r="I112" i="7" l="1"/>
  <c r="J112" i="7" l="1"/>
  <c r="F113" i="7" s="1"/>
  <c r="G112" i="7"/>
  <c r="H113" i="7" l="1"/>
  <c r="I113" i="7" l="1"/>
  <c r="G113" i="7" s="1"/>
  <c r="J113" i="7" l="1"/>
  <c r="F114" i="7" s="1"/>
  <c r="H114" i="7" l="1"/>
  <c r="I114" i="7" l="1"/>
  <c r="J114" i="7" l="1"/>
  <c r="F115" i="7" s="1"/>
  <c r="G114" i="7"/>
  <c r="H115" i="7" l="1"/>
  <c r="I115" i="7" l="1"/>
  <c r="J115" i="7" l="1"/>
  <c r="F116" i="7" s="1"/>
  <c r="G115" i="7"/>
  <c r="H116" i="7" l="1"/>
  <c r="I116" i="7" l="1"/>
  <c r="J116" i="7" s="1"/>
  <c r="F117" i="7" s="1"/>
  <c r="H117" i="7" l="1"/>
  <c r="G116" i="7"/>
  <c r="I117" i="7" l="1"/>
  <c r="J117" i="7" s="1"/>
  <c r="F118" i="7" s="1"/>
  <c r="G117" i="7" l="1"/>
  <c r="H118" i="7"/>
  <c r="I118" i="7" l="1"/>
  <c r="J118" i="7" s="1"/>
  <c r="F119" i="7" s="1"/>
  <c r="H119" i="7" l="1"/>
  <c r="G118" i="7"/>
  <c r="I119" i="7" l="1"/>
  <c r="J119" i="7" s="1"/>
  <c r="F120" i="7" s="1"/>
  <c r="H120" i="7" l="1"/>
  <c r="G119" i="7"/>
  <c r="I120" i="7" l="1"/>
  <c r="J120" i="7" s="1"/>
  <c r="F121" i="7" s="1"/>
  <c r="G120" i="7" l="1"/>
  <c r="H121" i="7"/>
  <c r="I121" i="7" l="1"/>
  <c r="J121" i="7" s="1"/>
  <c r="F122" i="7" s="1"/>
  <c r="G121" i="7" l="1"/>
  <c r="H122" i="7"/>
  <c r="I122" i="7" l="1"/>
  <c r="K122" i="7"/>
  <c r="L122" i="7" l="1"/>
  <c r="M122" i="7" s="1"/>
  <c r="J122" i="7"/>
  <c r="G122" i="7"/>
  <c r="E21" i="7" l="1"/>
  <c r="F123" i="7"/>
  <c r="I33" i="7" l="1"/>
  <c r="C35" i="3"/>
  <c r="H123" i="7"/>
  <c r="G35" i="3" l="1"/>
  <c r="C36" i="3"/>
  <c r="I123" i="7"/>
  <c r="G36" i="3" l="1"/>
  <c r="J100" i="3"/>
  <c r="J123" i="7"/>
  <c r="F124" i="7" s="1"/>
  <c r="G123" i="7"/>
  <c r="H124" i="7" l="1"/>
  <c r="I124" i="7" l="1"/>
  <c r="J124" i="7" l="1"/>
  <c r="F125" i="7" s="1"/>
  <c r="G124" i="7"/>
  <c r="H125" i="7" l="1"/>
  <c r="I125" i="7" l="1"/>
  <c r="J125" i="7" l="1"/>
  <c r="F126" i="7" s="1"/>
  <c r="G125" i="7"/>
  <c r="H126" i="7" l="1"/>
  <c r="I126" i="7" l="1"/>
  <c r="J126" i="7" l="1"/>
  <c r="F127" i="7" s="1"/>
  <c r="G126" i="7"/>
  <c r="H127" i="7" l="1"/>
  <c r="I127" i="7" l="1"/>
  <c r="J127" i="7" l="1"/>
  <c r="F128" i="7" s="1"/>
  <c r="G127" i="7"/>
  <c r="H128" i="7" l="1"/>
  <c r="I128" i="7" l="1"/>
  <c r="J128" i="7" s="1"/>
  <c r="F129" i="7" s="1"/>
  <c r="H129" i="7" l="1"/>
  <c r="G128" i="7"/>
  <c r="I129" i="7" l="1"/>
  <c r="J129" i="7" s="1"/>
  <c r="F130" i="7" s="1"/>
  <c r="H130" i="7" l="1"/>
  <c r="G129" i="7"/>
  <c r="I130" i="7" l="1"/>
  <c r="J130" i="7" s="1"/>
  <c r="F131" i="7" s="1"/>
  <c r="H131" i="7" l="1"/>
  <c r="G130" i="7"/>
  <c r="I131" i="7" l="1"/>
  <c r="J131" i="7" s="1"/>
  <c r="F132" i="7" s="1"/>
  <c r="H132" i="7" l="1"/>
  <c r="G131" i="7"/>
  <c r="I132" i="7" l="1"/>
  <c r="J132" i="7" s="1"/>
  <c r="F133" i="7" s="1"/>
  <c r="H133" i="7" l="1"/>
  <c r="G132" i="7"/>
  <c r="I133" i="7" l="1"/>
  <c r="J133" i="7" s="1"/>
  <c r="F134" i="7" s="1"/>
  <c r="H134" i="7" l="1"/>
  <c r="G133" i="7"/>
  <c r="I134" i="7" l="1"/>
  <c r="K134" i="7"/>
  <c r="L134" i="7" l="1"/>
  <c r="M134" i="7" s="1"/>
  <c r="J134" i="7"/>
  <c r="F135" i="7" s="1"/>
  <c r="G134" i="7"/>
  <c r="H135" i="7" l="1"/>
  <c r="I135" i="7" l="1"/>
  <c r="G135" i="7" s="1"/>
  <c r="J135" i="7" l="1"/>
  <c r="F136" i="7" s="1"/>
  <c r="H136" i="7" l="1"/>
  <c r="I136" i="7" l="1"/>
  <c r="J136" i="7" l="1"/>
  <c r="F137" i="7" s="1"/>
  <c r="G136" i="7"/>
  <c r="H137" i="7" l="1"/>
  <c r="I137" i="7" l="1"/>
  <c r="J137" i="7" l="1"/>
  <c r="F138" i="7" s="1"/>
  <c r="G137" i="7"/>
  <c r="H138" i="7" l="1"/>
  <c r="I138" i="7" l="1"/>
  <c r="J138" i="7" l="1"/>
  <c r="F139" i="7" s="1"/>
  <c r="G138" i="7"/>
  <c r="H139" i="7" l="1"/>
  <c r="I139" i="7" l="1"/>
  <c r="J139" i="7" l="1"/>
  <c r="F140" i="7" s="1"/>
  <c r="G139" i="7"/>
  <c r="H140" i="7" l="1"/>
  <c r="I140" i="7" l="1"/>
  <c r="J140" i="7" s="1"/>
  <c r="F141" i="7" s="1"/>
  <c r="H141" i="7" l="1"/>
  <c r="G140" i="7"/>
  <c r="I141" i="7" l="1"/>
  <c r="J141" i="7" s="1"/>
  <c r="F142" i="7" s="1"/>
  <c r="H142" i="7" l="1"/>
  <c r="G141" i="7"/>
  <c r="I142" i="7" l="1"/>
  <c r="J142" i="7" s="1"/>
  <c r="F143" i="7" s="1"/>
  <c r="H143" i="7" l="1"/>
  <c r="G142" i="7"/>
  <c r="I143" i="7" l="1"/>
  <c r="J143" i="7" s="1"/>
  <c r="F144" i="7" s="1"/>
  <c r="H144" i="7" l="1"/>
  <c r="G143" i="7"/>
  <c r="I144" i="7" l="1"/>
  <c r="J144" i="7" s="1"/>
  <c r="F145" i="7" s="1"/>
  <c r="H145" i="7" l="1"/>
  <c r="G144" i="7"/>
  <c r="I145" i="7" l="1"/>
  <c r="J145" i="7" s="1"/>
  <c r="F146" i="7" s="1"/>
  <c r="H146" i="7" l="1"/>
  <c r="G145" i="7"/>
  <c r="I146" i="7" l="1"/>
  <c r="K146" i="7"/>
  <c r="L146" i="7" l="1"/>
  <c r="M146" i="7" s="1"/>
  <c r="J146" i="7"/>
  <c r="F147" i="7" s="1"/>
  <c r="G146" i="7"/>
  <c r="H147" i="7" l="1"/>
  <c r="I147" i="7" l="1"/>
  <c r="G147" i="7" s="1"/>
  <c r="J147" i="7" l="1"/>
  <c r="F148" i="7" s="1"/>
  <c r="H148" i="7" l="1"/>
  <c r="I148" i="7" l="1"/>
  <c r="J148" i="7" l="1"/>
  <c r="F149" i="7" s="1"/>
  <c r="G148" i="7"/>
  <c r="H149" i="7" l="1"/>
  <c r="I149" i="7" l="1"/>
  <c r="J149" i="7" l="1"/>
  <c r="F150" i="7" s="1"/>
  <c r="G149" i="7"/>
  <c r="H150" i="7" l="1"/>
  <c r="I150" i="7" l="1"/>
  <c r="J150" i="7" l="1"/>
  <c r="F151" i="7" s="1"/>
  <c r="G150" i="7"/>
  <c r="H151" i="7" l="1"/>
  <c r="I151" i="7" l="1"/>
  <c r="J151" i="7" l="1"/>
  <c r="F152" i="7" s="1"/>
  <c r="G151" i="7"/>
  <c r="H152" i="7" l="1"/>
  <c r="I152" i="7" l="1"/>
  <c r="J152" i="7" s="1"/>
  <c r="F153" i="7" s="1"/>
  <c r="H153" i="7" l="1"/>
  <c r="G152" i="7"/>
  <c r="I153" i="7" l="1"/>
  <c r="J153" i="7" s="1"/>
  <c r="F154" i="7" s="1"/>
  <c r="H154" i="7" l="1"/>
  <c r="G153" i="7"/>
  <c r="I154" i="7" l="1"/>
  <c r="J154" i="7" s="1"/>
  <c r="F155" i="7" s="1"/>
  <c r="H155" i="7" l="1"/>
  <c r="G154" i="7"/>
  <c r="I155" i="7" l="1"/>
  <c r="J155" i="7" s="1"/>
  <c r="F156" i="7" s="1"/>
  <c r="H156" i="7" l="1"/>
  <c r="G155" i="7"/>
  <c r="I156" i="7" l="1"/>
  <c r="J156" i="7" s="1"/>
  <c r="F157" i="7" s="1"/>
  <c r="H157" i="7" l="1"/>
  <c r="G156" i="7"/>
  <c r="I157" i="7" l="1"/>
  <c r="J157" i="7" s="1"/>
  <c r="F158" i="7" s="1"/>
  <c r="H158" i="7" l="1"/>
  <c r="G157" i="7"/>
  <c r="I158" i="7" l="1"/>
  <c r="C15" i="7"/>
  <c r="C16" i="7"/>
  <c r="C17" i="7"/>
  <c r="C18" i="7"/>
  <c r="C19" i="7"/>
  <c r="C20" i="7"/>
  <c r="C21" i="7"/>
  <c r="K158" i="7"/>
  <c r="H31" i="7" l="1"/>
  <c r="D31" i="7"/>
  <c r="D32" i="7" s="1"/>
  <c r="F16" i="7"/>
  <c r="E77" i="3" s="1"/>
  <c r="G31" i="7"/>
  <c r="C31" i="7"/>
  <c r="C32" i="7" s="1"/>
  <c r="F15" i="7"/>
  <c r="D77" i="3" s="1"/>
  <c r="F31" i="7"/>
  <c r="D18" i="7"/>
  <c r="F30" i="7" s="1"/>
  <c r="D19" i="7"/>
  <c r="G30" i="7" s="1"/>
  <c r="D20" i="7"/>
  <c r="H30" i="7" s="1"/>
  <c r="H32" i="7" s="1"/>
  <c r="D21" i="7"/>
  <c r="I30" i="7" s="1"/>
  <c r="L158" i="7"/>
  <c r="M158" i="7" s="1"/>
  <c r="J158" i="7"/>
  <c r="F159" i="7" s="1"/>
  <c r="I31" i="7"/>
  <c r="E31" i="7"/>
  <c r="E32" i="7" s="1"/>
  <c r="F17" i="7"/>
  <c r="F77" i="3" s="1"/>
  <c r="G158" i="7"/>
  <c r="F32" i="7" l="1"/>
  <c r="F21" i="7"/>
  <c r="J77" i="3" s="1"/>
  <c r="J79" i="3" s="1"/>
  <c r="I32" i="7"/>
  <c r="F18" i="7"/>
  <c r="G77" i="3" s="1"/>
  <c r="F19" i="7"/>
  <c r="H77" i="3" s="1"/>
  <c r="F20" i="7"/>
  <c r="I77" i="3" s="1"/>
  <c r="F81" i="3"/>
  <c r="F79" i="3"/>
  <c r="H159" i="7"/>
  <c r="G32" i="7"/>
  <c r="D81" i="3"/>
  <c r="D79" i="3"/>
  <c r="E81" i="3"/>
  <c r="E79" i="3"/>
  <c r="J81" i="3" l="1"/>
  <c r="I81" i="3"/>
  <c r="I79" i="3"/>
  <c r="J99" i="3"/>
  <c r="J101" i="3" s="1"/>
  <c r="J107" i="3"/>
  <c r="D107" i="3"/>
  <c r="D99" i="3"/>
  <c r="D101" i="3" s="1"/>
  <c r="I159" i="7"/>
  <c r="G159" i="7" s="1"/>
  <c r="F107" i="3"/>
  <c r="F99" i="3"/>
  <c r="F101" i="3" s="1"/>
  <c r="G81" i="3"/>
  <c r="G79" i="3"/>
  <c r="E99" i="3"/>
  <c r="E101" i="3" s="1"/>
  <c r="E107" i="3"/>
  <c r="H81" i="3"/>
  <c r="H79" i="3"/>
  <c r="D29" i="5" l="1"/>
  <c r="E112" i="3"/>
  <c r="J112" i="3"/>
  <c r="I29" i="5"/>
  <c r="F112" i="3"/>
  <c r="E29" i="5"/>
  <c r="I99" i="3"/>
  <c r="I101" i="3" s="1"/>
  <c r="I107" i="3"/>
  <c r="H107" i="3"/>
  <c r="H99" i="3"/>
  <c r="H101" i="3" s="1"/>
  <c r="G107" i="3"/>
  <c r="G99" i="3"/>
  <c r="G101" i="3" s="1"/>
  <c r="B101" i="3" s="1"/>
  <c r="J159" i="7"/>
  <c r="F160" i="7" s="1"/>
  <c r="C29" i="5"/>
  <c r="D112" i="3"/>
  <c r="C22" i="5" l="1"/>
  <c r="D105" i="3"/>
  <c r="H29" i="5"/>
  <c r="I112" i="3"/>
  <c r="F29" i="5"/>
  <c r="G112" i="3"/>
  <c r="H160" i="7"/>
  <c r="H112" i="3"/>
  <c r="G29" i="5"/>
  <c r="D108" i="3" l="1"/>
  <c r="C30" i="5" s="1"/>
  <c r="I160" i="7"/>
  <c r="C27" i="5"/>
  <c r="J160" i="7" l="1"/>
  <c r="F161" i="7" s="1"/>
  <c r="G160" i="7"/>
  <c r="H161" i="7" l="1"/>
  <c r="I161" i="7" l="1"/>
  <c r="J161" i="7" l="1"/>
  <c r="F162" i="7" s="1"/>
  <c r="G161" i="7"/>
  <c r="H162" i="7" l="1"/>
  <c r="I162" i="7" l="1"/>
  <c r="J162" i="7" l="1"/>
  <c r="F163" i="7" s="1"/>
  <c r="G162" i="7"/>
  <c r="H163" i="7" l="1"/>
  <c r="I163" i="7" l="1"/>
  <c r="J163" i="7" l="1"/>
  <c r="F164" i="7" s="1"/>
  <c r="G163" i="7"/>
  <c r="H164" i="7" l="1"/>
  <c r="I164" i="7" l="1"/>
  <c r="J164" i="7" s="1"/>
  <c r="F165" i="7" s="1"/>
  <c r="H165" i="7" l="1"/>
  <c r="G164" i="7"/>
  <c r="I165" i="7" l="1"/>
  <c r="J165" i="7" s="1"/>
  <c r="F166" i="7" s="1"/>
  <c r="G165" i="7" l="1"/>
  <c r="H166" i="7"/>
  <c r="I166" i="7" l="1"/>
  <c r="J166" i="7" s="1"/>
  <c r="F167" i="7" s="1"/>
  <c r="G166" i="7" l="1"/>
  <c r="H167" i="7"/>
  <c r="I167" i="7" l="1"/>
  <c r="J167" i="7" s="1"/>
  <c r="F168" i="7" s="1"/>
  <c r="H168" i="7" l="1"/>
  <c r="G167" i="7"/>
  <c r="I168" i="7" l="1"/>
  <c r="J168" i="7" s="1"/>
  <c r="F169" i="7" s="1"/>
  <c r="H169" i="7" l="1"/>
  <c r="G168" i="7"/>
  <c r="I169" i="7" l="1"/>
  <c r="J169" i="7" s="1"/>
  <c r="F170" i="7" s="1"/>
  <c r="H170" i="7" l="1"/>
  <c r="G169" i="7"/>
  <c r="I170" i="7" l="1"/>
  <c r="K170" i="7"/>
  <c r="L170" i="7" l="1"/>
  <c r="M170" i="7" s="1"/>
  <c r="J170" i="7"/>
  <c r="F171" i="7" s="1"/>
  <c r="G170" i="7"/>
  <c r="H171" i="7" l="1"/>
  <c r="I171" i="7" l="1"/>
  <c r="J171" i="7" l="1"/>
  <c r="F172" i="7" s="1"/>
  <c r="G171" i="7"/>
  <c r="H172" i="7" l="1"/>
  <c r="I172" i="7" l="1"/>
  <c r="J172" i="7" l="1"/>
  <c r="F173" i="7" s="1"/>
  <c r="G172" i="7"/>
  <c r="H173" i="7" l="1"/>
  <c r="I173" i="7" l="1"/>
  <c r="J173" i="7" l="1"/>
  <c r="F174" i="7" s="1"/>
  <c r="G173" i="7"/>
  <c r="H174" i="7" l="1"/>
  <c r="I174" i="7" l="1"/>
  <c r="J174" i="7" l="1"/>
  <c r="F175" i="7" s="1"/>
  <c r="G174" i="7"/>
  <c r="H175" i="7" l="1"/>
  <c r="I175" i="7" l="1"/>
  <c r="G175" i="7" s="1"/>
  <c r="J175" i="7" l="1"/>
  <c r="F176" i="7" s="1"/>
  <c r="H176" i="7" l="1"/>
  <c r="I176" i="7" l="1"/>
  <c r="J176" i="7" s="1"/>
  <c r="F177" i="7" s="1"/>
  <c r="H177" i="7" l="1"/>
  <c r="G176" i="7"/>
  <c r="I177" i="7" l="1"/>
  <c r="J177" i="7" s="1"/>
  <c r="F178" i="7" s="1"/>
  <c r="H178" i="7" l="1"/>
  <c r="G177" i="7"/>
  <c r="I178" i="7" l="1"/>
  <c r="J178" i="7" s="1"/>
  <c r="F179" i="7" s="1"/>
  <c r="H179" i="7" l="1"/>
  <c r="G178" i="7"/>
  <c r="I179" i="7" l="1"/>
  <c r="J179" i="7" s="1"/>
  <c r="F180" i="7" s="1"/>
  <c r="G179" i="7" l="1"/>
  <c r="H180" i="7"/>
  <c r="I180" i="7" l="1"/>
  <c r="J180" i="7" s="1"/>
  <c r="F181" i="7" s="1"/>
  <c r="G180" i="7" l="1"/>
  <c r="H181" i="7"/>
  <c r="I181" i="7" l="1"/>
  <c r="J181" i="7" s="1"/>
  <c r="F182" i="7" s="1"/>
  <c r="H182" i="7" l="1"/>
  <c r="G181" i="7"/>
  <c r="I182" i="7" l="1"/>
  <c r="K182" i="7"/>
  <c r="L182" i="7" l="1"/>
  <c r="M182" i="7" s="1"/>
  <c r="J182" i="7"/>
  <c r="F183" i="7" s="1"/>
  <c r="G182" i="7"/>
  <c r="H183" i="7" l="1"/>
  <c r="I183" i="7" l="1"/>
  <c r="J183" i="7" l="1"/>
  <c r="F184" i="7" s="1"/>
  <c r="G183" i="7"/>
  <c r="H184" i="7" l="1"/>
  <c r="I184" i="7" l="1"/>
  <c r="J184" i="7" l="1"/>
  <c r="F185" i="7" s="1"/>
  <c r="G184" i="7"/>
  <c r="H185" i="7" l="1"/>
  <c r="I185" i="7" l="1"/>
  <c r="J185" i="7" l="1"/>
  <c r="F186" i="7" s="1"/>
  <c r="G185" i="7"/>
  <c r="H186" i="7" l="1"/>
  <c r="I186" i="7" l="1"/>
  <c r="J186" i="7" l="1"/>
  <c r="F187" i="7" s="1"/>
  <c r="G186" i="7"/>
  <c r="H187" i="7" l="1"/>
  <c r="I187" i="7" l="1"/>
  <c r="J187" i="7" l="1"/>
  <c r="F188" i="7" s="1"/>
  <c r="G187" i="7"/>
  <c r="H188" i="7" l="1"/>
  <c r="I188" i="7" l="1"/>
  <c r="J188" i="7" s="1"/>
  <c r="F189" i="7" s="1"/>
  <c r="G188" i="7" l="1"/>
  <c r="H189" i="7"/>
  <c r="I189" i="7" l="1"/>
  <c r="J189" i="7" s="1"/>
  <c r="F190" i="7" s="1"/>
  <c r="H190" i="7" l="1"/>
  <c r="G189" i="7"/>
  <c r="I190" i="7" l="1"/>
  <c r="J190" i="7" s="1"/>
  <c r="F191" i="7" s="1"/>
  <c r="G190" i="7" l="1"/>
  <c r="H191" i="7"/>
  <c r="I191" i="7" l="1"/>
  <c r="J191" i="7" s="1"/>
  <c r="F192" i="7" s="1"/>
  <c r="G191" i="7" l="1"/>
  <c r="H192" i="7"/>
  <c r="I192" i="7" l="1"/>
  <c r="J192" i="7" s="1"/>
  <c r="F193" i="7" s="1"/>
  <c r="H193" i="7" l="1"/>
  <c r="G192" i="7"/>
  <c r="I193" i="7" l="1"/>
  <c r="J193" i="7" s="1"/>
  <c r="F194" i="7" s="1"/>
  <c r="G193" i="7" l="1"/>
  <c r="H194" i="7"/>
  <c r="I194" i="7" l="1"/>
  <c r="K194" i="7"/>
  <c r="L194" i="7" l="1"/>
  <c r="M194" i="7" s="1"/>
  <c r="J194" i="7"/>
  <c r="F195" i="7" s="1"/>
  <c r="G194" i="7"/>
  <c r="H195" i="7" l="1"/>
  <c r="I195" i="7" l="1"/>
  <c r="J195" i="7" l="1"/>
  <c r="F196" i="7" s="1"/>
  <c r="G195" i="7"/>
  <c r="H196" i="7" l="1"/>
  <c r="I196" i="7" l="1"/>
  <c r="G196" i="7" s="1"/>
  <c r="J196" i="7" l="1"/>
  <c r="F197" i="7" s="1"/>
  <c r="H197" i="7" l="1"/>
  <c r="I197" i="7" l="1"/>
  <c r="G197" i="7" s="1"/>
  <c r="J197" i="7" l="1"/>
  <c r="F198" i="7" s="1"/>
  <c r="H198" i="7" l="1"/>
  <c r="I198" i="7" l="1"/>
  <c r="J198" i="7" l="1"/>
  <c r="F199" i="7" s="1"/>
  <c r="G198" i="7"/>
  <c r="H199" i="7" l="1"/>
  <c r="I199" i="7" l="1"/>
  <c r="J199" i="7" l="1"/>
  <c r="F200" i="7" s="1"/>
  <c r="G199" i="7"/>
  <c r="H200" i="7" l="1"/>
  <c r="I200" i="7" l="1"/>
  <c r="J200" i="7" s="1"/>
  <c r="F201" i="7" s="1"/>
  <c r="G200" i="7" l="1"/>
  <c r="H201" i="7"/>
  <c r="I201" i="7" l="1"/>
  <c r="J201" i="7" s="1"/>
  <c r="F202" i="7" s="1"/>
  <c r="H202" i="7" l="1"/>
  <c r="G201" i="7"/>
  <c r="I202" i="7" l="1"/>
  <c r="J202" i="7" s="1"/>
  <c r="F203" i="7" s="1"/>
  <c r="G202" i="7" l="1"/>
  <c r="H203" i="7"/>
  <c r="I203" i="7" l="1"/>
  <c r="J203" i="7" s="1"/>
  <c r="F204" i="7" s="1"/>
  <c r="H204" i="7" l="1"/>
  <c r="G203" i="7"/>
  <c r="I204" i="7" l="1"/>
  <c r="J204" i="7" s="1"/>
  <c r="F205" i="7" s="1"/>
  <c r="H205" i="7" l="1"/>
  <c r="G204" i="7"/>
  <c r="I205" i="7" l="1"/>
  <c r="J205" i="7" s="1"/>
  <c r="F206" i="7" s="1"/>
  <c r="H206" i="7" l="1"/>
  <c r="G205" i="7"/>
  <c r="I206" i="7" l="1"/>
  <c r="G206" i="7" s="1"/>
  <c r="K206" i="7"/>
  <c r="L206" i="7" l="1"/>
  <c r="M206" i="7" s="1"/>
  <c r="J206" i="7"/>
  <c r="F207" i="7" s="1"/>
  <c r="H207" i="7" l="1"/>
  <c r="I207" i="7" l="1"/>
  <c r="J207" i="7" l="1"/>
  <c r="F208" i="7" s="1"/>
  <c r="G207" i="7"/>
  <c r="H208" i="7" l="1"/>
  <c r="I208" i="7" l="1"/>
  <c r="G208" i="7" s="1"/>
  <c r="J208" i="7" l="1"/>
  <c r="F209" i="7" s="1"/>
  <c r="H209" i="7" l="1"/>
  <c r="I209" i="7" l="1"/>
  <c r="J209" i="7" l="1"/>
  <c r="F210" i="7" s="1"/>
  <c r="G209" i="7"/>
  <c r="H210" i="7" l="1"/>
  <c r="I210" i="7" l="1"/>
  <c r="J210" i="7" l="1"/>
  <c r="F211" i="7" s="1"/>
  <c r="G210" i="7"/>
  <c r="H211" i="7" l="1"/>
  <c r="I211" i="7" l="1"/>
  <c r="J211" i="7" l="1"/>
  <c r="F212" i="7" s="1"/>
  <c r="G211" i="7"/>
  <c r="H212" i="7" l="1"/>
  <c r="I212" i="7" l="1"/>
  <c r="J212" i="7" s="1"/>
  <c r="F213" i="7" s="1"/>
  <c r="H213" i="7" l="1"/>
  <c r="G212" i="7"/>
  <c r="I213" i="7" l="1"/>
  <c r="J213" i="7" s="1"/>
  <c r="F214" i="7" s="1"/>
  <c r="G213" i="7" l="1"/>
  <c r="H214" i="7"/>
  <c r="I214" i="7" l="1"/>
  <c r="J214" i="7" s="1"/>
  <c r="F215" i="7" s="1"/>
  <c r="G214" i="7" l="1"/>
  <c r="H215" i="7"/>
  <c r="I215" i="7" l="1"/>
  <c r="J215" i="7" s="1"/>
  <c r="F216" i="7" s="1"/>
  <c r="G215" i="7" l="1"/>
  <c r="H216" i="7"/>
  <c r="I216" i="7" l="1"/>
  <c r="J216" i="7" s="1"/>
  <c r="F217" i="7" s="1"/>
  <c r="G216" i="7" l="1"/>
  <c r="H217" i="7"/>
  <c r="I217" i="7" l="1"/>
  <c r="J217" i="7" s="1"/>
  <c r="F218" i="7" s="1"/>
  <c r="G217" i="7" l="1"/>
  <c r="H218" i="7"/>
  <c r="I218" i="7" l="1"/>
  <c r="K218" i="7"/>
  <c r="L218" i="7" l="1"/>
  <c r="M218" i="7" s="1"/>
  <c r="J218" i="7"/>
  <c r="F219" i="7" s="1"/>
  <c r="G218" i="7"/>
  <c r="H219" i="7" l="1"/>
  <c r="I219" i="7" l="1"/>
  <c r="G219" i="7" s="1"/>
  <c r="J219" i="7" l="1"/>
  <c r="F220" i="7" s="1"/>
  <c r="H220" i="7" l="1"/>
  <c r="I220" i="7" l="1"/>
  <c r="J220" i="7" l="1"/>
  <c r="F221" i="7" s="1"/>
  <c r="G220" i="7"/>
  <c r="H221" i="7" l="1"/>
  <c r="I221" i="7" l="1"/>
  <c r="J221" i="7" l="1"/>
  <c r="F222" i="7" s="1"/>
  <c r="G221" i="7"/>
  <c r="H222" i="7" l="1"/>
  <c r="I222" i="7" l="1"/>
  <c r="J222" i="7" l="1"/>
  <c r="F223" i="7" s="1"/>
  <c r="G222" i="7"/>
  <c r="H223" i="7" l="1"/>
  <c r="I223" i="7" l="1"/>
  <c r="G223" i="7" s="1"/>
  <c r="J223" i="7" l="1"/>
  <c r="F224" i="7" s="1"/>
  <c r="H224" i="7" l="1"/>
  <c r="I224" i="7" l="1"/>
  <c r="J224" i="7" s="1"/>
  <c r="F225" i="7" s="1"/>
  <c r="G224" i="7" l="1"/>
  <c r="H225" i="7"/>
  <c r="I225" i="7" l="1"/>
  <c r="J225" i="7" s="1"/>
  <c r="F226" i="7" s="1"/>
  <c r="G225" i="7" l="1"/>
  <c r="H226" i="7"/>
  <c r="I226" i="7" l="1"/>
  <c r="J226" i="7" s="1"/>
  <c r="F227" i="7" s="1"/>
  <c r="G226" i="7" l="1"/>
  <c r="H227" i="7"/>
  <c r="I227" i="7" l="1"/>
  <c r="J227" i="7" s="1"/>
  <c r="F228" i="7" s="1"/>
  <c r="G227" i="7" l="1"/>
  <c r="H228" i="7"/>
  <c r="I228" i="7" l="1"/>
  <c r="J228" i="7" s="1"/>
  <c r="F229" i="7" s="1"/>
  <c r="G228" i="7" l="1"/>
  <c r="H229" i="7"/>
  <c r="I229" i="7" l="1"/>
  <c r="J229" i="7" s="1"/>
  <c r="F230" i="7" s="1"/>
  <c r="H230" i="7" l="1"/>
  <c r="G229" i="7"/>
  <c r="I230" i="7" l="1"/>
  <c r="G230" i="7" s="1"/>
  <c r="K230" i="7"/>
  <c r="L230" i="7" l="1"/>
  <c r="M230" i="7" s="1"/>
  <c r="J230" i="7"/>
  <c r="F231" i="7" s="1"/>
  <c r="H231" i="7" l="1"/>
  <c r="I231" i="7" l="1"/>
  <c r="G231" i="7" s="1"/>
  <c r="J231" i="7" l="1"/>
  <c r="F232" i="7" s="1"/>
  <c r="H232" i="7" l="1"/>
  <c r="I232" i="7" l="1"/>
  <c r="G232" i="7" s="1"/>
  <c r="J232" i="7" l="1"/>
  <c r="F233" i="7" s="1"/>
  <c r="H233" i="7" l="1"/>
  <c r="I233" i="7" l="1"/>
  <c r="J233" i="7" l="1"/>
  <c r="F234" i="7" s="1"/>
  <c r="G233" i="7"/>
  <c r="H234" i="7" l="1"/>
  <c r="I234" i="7" l="1"/>
  <c r="G234" i="7" s="1"/>
  <c r="J234" i="7" l="1"/>
  <c r="F235" i="7" s="1"/>
  <c r="H235" i="7" l="1"/>
  <c r="I235" i="7" l="1"/>
  <c r="G235" i="7" s="1"/>
  <c r="J235" i="7" l="1"/>
  <c r="F236" i="7" s="1"/>
  <c r="H236" i="7" l="1"/>
  <c r="I236" i="7" l="1"/>
  <c r="J236" i="7" s="1"/>
  <c r="F237" i="7" s="1"/>
  <c r="G236" i="7" l="1"/>
  <c r="H237" i="7"/>
  <c r="I237" i="7" l="1"/>
  <c r="J237" i="7" s="1"/>
  <c r="F238" i="7" s="1"/>
  <c r="H238" i="7" l="1"/>
  <c r="G237" i="7"/>
  <c r="I238" i="7" l="1"/>
  <c r="J238" i="7" s="1"/>
  <c r="F239" i="7" s="1"/>
  <c r="G238" i="7" l="1"/>
  <c r="H239" i="7"/>
  <c r="I239" i="7" l="1"/>
  <c r="J239" i="7" s="1"/>
  <c r="F240" i="7" s="1"/>
  <c r="H240" i="7" l="1"/>
  <c r="G239" i="7"/>
  <c r="I240" i="7" l="1"/>
  <c r="J240" i="7" s="1"/>
  <c r="F241" i="7" s="1"/>
  <c r="G240" i="7" l="1"/>
  <c r="H241" i="7"/>
  <c r="I241" i="7" l="1"/>
  <c r="J241" i="7" s="1"/>
  <c r="F242" i="7" s="1"/>
  <c r="H242" i="7" l="1"/>
  <c r="G241" i="7"/>
  <c r="I242" i="7" l="1"/>
  <c r="K242" i="7"/>
  <c r="L242" i="7" l="1"/>
  <c r="M242" i="7" s="1"/>
  <c r="J242" i="7"/>
  <c r="F243" i="7" s="1"/>
  <c r="G242" i="7"/>
  <c r="H243" i="7" l="1"/>
  <c r="I243" i="7" l="1"/>
  <c r="G243" i="7" s="1"/>
  <c r="J243" i="7" l="1"/>
  <c r="F244" i="7" s="1"/>
  <c r="H244" i="7" l="1"/>
  <c r="I244" i="7" l="1"/>
  <c r="J244" i="7" l="1"/>
  <c r="F245" i="7" s="1"/>
  <c r="G244" i="7"/>
  <c r="H245" i="7" l="1"/>
  <c r="I245" i="7" l="1"/>
  <c r="G245" i="7" s="1"/>
  <c r="J245" i="7" l="1"/>
  <c r="F246" i="7" s="1"/>
  <c r="H246" i="7" l="1"/>
  <c r="I246" i="7" l="1"/>
  <c r="J246" i="7" l="1"/>
  <c r="F247" i="7" s="1"/>
  <c r="G246" i="7"/>
  <c r="H247" i="7" l="1"/>
  <c r="I247" i="7" l="1"/>
  <c r="J247" i="7" l="1"/>
  <c r="F248" i="7" s="1"/>
  <c r="G247" i="7"/>
  <c r="H248" i="7" l="1"/>
  <c r="I248" i="7" l="1"/>
  <c r="J248" i="7" s="1"/>
  <c r="F249" i="7" s="1"/>
  <c r="H249" i="7" l="1"/>
  <c r="G248" i="7"/>
  <c r="I249" i="7" l="1"/>
  <c r="J249" i="7" s="1"/>
  <c r="F250" i="7" s="1"/>
  <c r="H250" i="7" l="1"/>
  <c r="G249" i="7"/>
  <c r="I250" i="7" l="1"/>
  <c r="J250" i="7" s="1"/>
  <c r="F251" i="7" s="1"/>
  <c r="H251" i="7" l="1"/>
  <c r="G250" i="7"/>
  <c r="I251" i="7" l="1"/>
  <c r="J251" i="7" s="1"/>
  <c r="F252" i="7" s="1"/>
  <c r="H252" i="7" l="1"/>
  <c r="G251" i="7"/>
  <c r="I252" i="7" l="1"/>
  <c r="J252" i="7" s="1"/>
  <c r="F253" i="7" s="1"/>
  <c r="H253" i="7" l="1"/>
  <c r="G252" i="7"/>
  <c r="I253" i="7" l="1"/>
  <c r="J253" i="7" s="1"/>
  <c r="F254" i="7" s="1"/>
  <c r="H254" i="7" l="1"/>
  <c r="G253" i="7"/>
  <c r="I254" i="7" l="1"/>
  <c r="K254" i="7"/>
  <c r="L254" i="7" l="1"/>
  <c r="M254" i="7" s="1"/>
  <c r="J254" i="7"/>
  <c r="F255" i="7" s="1"/>
  <c r="G254" i="7"/>
  <c r="H255" i="7" l="1"/>
  <c r="I255" i="7" l="1"/>
  <c r="J255" i="7" l="1"/>
  <c r="F256" i="7" s="1"/>
  <c r="G255" i="7"/>
  <c r="H256" i="7" l="1"/>
  <c r="I256" i="7" l="1"/>
  <c r="J256" i="7" l="1"/>
  <c r="F257" i="7" s="1"/>
  <c r="G256" i="7"/>
  <c r="H257" i="7" l="1"/>
  <c r="I257" i="7" l="1"/>
  <c r="J257" i="7" l="1"/>
  <c r="F258" i="7" s="1"/>
  <c r="G257" i="7"/>
  <c r="H258" i="7" l="1"/>
  <c r="I258" i="7" l="1"/>
  <c r="J258" i="7" l="1"/>
  <c r="F259" i="7" s="1"/>
  <c r="G258" i="7"/>
  <c r="H259" i="7" l="1"/>
  <c r="I259" i="7" l="1"/>
  <c r="J259" i="7" l="1"/>
  <c r="F260" i="7" s="1"/>
  <c r="G259" i="7"/>
  <c r="H260" i="7" l="1"/>
  <c r="I260" i="7" l="1"/>
  <c r="J260" i="7" s="1"/>
  <c r="F261" i="7" s="1"/>
  <c r="H261" i="7" l="1"/>
  <c r="G260" i="7"/>
  <c r="I261" i="7" l="1"/>
  <c r="J261" i="7" s="1"/>
  <c r="F262" i="7" s="1"/>
  <c r="H262" i="7" l="1"/>
  <c r="G261" i="7"/>
  <c r="I262" i="7" l="1"/>
  <c r="J262" i="7" s="1"/>
  <c r="F263" i="7" s="1"/>
  <c r="H263" i="7" l="1"/>
  <c r="G262" i="7"/>
  <c r="I263" i="7" l="1"/>
  <c r="J263" i="7" s="1"/>
  <c r="F264" i="7" s="1"/>
  <c r="H264" i="7" l="1"/>
  <c r="G263" i="7"/>
  <c r="I264" i="7" l="1"/>
  <c r="J264" i="7" s="1"/>
  <c r="F265" i="7" s="1"/>
  <c r="H265" i="7" l="1"/>
  <c r="G264" i="7"/>
  <c r="I265" i="7" l="1"/>
  <c r="J265" i="7" s="1"/>
  <c r="F266" i="7" s="1"/>
  <c r="H266" i="7" l="1"/>
  <c r="G265" i="7"/>
  <c r="I266" i="7" l="1"/>
  <c r="K266" i="7"/>
  <c r="L266" i="7" l="1"/>
  <c r="M266" i="7" s="1"/>
  <c r="J266" i="7"/>
  <c r="F267" i="7" s="1"/>
  <c r="G266" i="7"/>
  <c r="H267" i="7" l="1"/>
  <c r="I267" i="7" l="1"/>
  <c r="G267" i="7" s="1"/>
  <c r="J267" i="7" l="1"/>
  <c r="F268" i="7" s="1"/>
  <c r="H268" i="7" l="1"/>
  <c r="I268" i="7" l="1"/>
  <c r="J268" i="7" l="1"/>
  <c r="F269" i="7" s="1"/>
  <c r="G268" i="7"/>
  <c r="H269" i="7" l="1"/>
  <c r="I269" i="7" l="1"/>
  <c r="J269" i="7" l="1"/>
  <c r="F270" i="7" s="1"/>
  <c r="G269" i="7"/>
  <c r="H270" i="7" l="1"/>
  <c r="I270" i="7" l="1"/>
  <c r="J270" i="7" l="1"/>
  <c r="F271" i="7" s="1"/>
  <c r="G270" i="7"/>
  <c r="H271" i="7" l="1"/>
  <c r="I271" i="7" l="1"/>
  <c r="J271" i="7" l="1"/>
  <c r="F272" i="7" s="1"/>
  <c r="G271" i="7"/>
  <c r="H272" i="7" l="1"/>
  <c r="I272" i="7" l="1"/>
  <c r="J272" i="7" s="1"/>
  <c r="F273" i="7" s="1"/>
  <c r="G272" i="7" l="1"/>
  <c r="H273" i="7"/>
  <c r="I273" i="7" l="1"/>
  <c r="J273" i="7" s="1"/>
  <c r="F274" i="7" s="1"/>
  <c r="H274" i="7" l="1"/>
  <c r="G273" i="7"/>
  <c r="I274" i="7" l="1"/>
  <c r="J274" i="7" s="1"/>
  <c r="F275" i="7" s="1"/>
  <c r="H275" i="7" l="1"/>
  <c r="G274" i="7"/>
  <c r="I275" i="7" l="1"/>
  <c r="J275" i="7" s="1"/>
  <c r="F276" i="7" s="1"/>
  <c r="H276" i="7" l="1"/>
  <c r="G275" i="7"/>
  <c r="I276" i="7" l="1"/>
  <c r="J276" i="7" s="1"/>
  <c r="F277" i="7" s="1"/>
  <c r="H277" i="7" l="1"/>
  <c r="G276" i="7"/>
  <c r="I277" i="7" l="1"/>
  <c r="J277" i="7" s="1"/>
  <c r="F278" i="7" s="1"/>
  <c r="H278" i="7" l="1"/>
  <c r="G277" i="7"/>
  <c r="I278" i="7" l="1"/>
  <c r="K278" i="7"/>
  <c r="L278" i="7" l="1"/>
  <c r="M278" i="7" s="1"/>
  <c r="J278" i="7"/>
  <c r="F279" i="7" s="1"/>
  <c r="G278" i="7"/>
  <c r="H279" i="7" l="1"/>
  <c r="I279" i="7" l="1"/>
  <c r="J279" i="7" l="1"/>
  <c r="F280" i="7" s="1"/>
  <c r="G279" i="7"/>
  <c r="H280" i="7" l="1"/>
  <c r="I280" i="7" l="1"/>
  <c r="J280" i="7" l="1"/>
  <c r="F281" i="7" s="1"/>
  <c r="G280" i="7"/>
  <c r="H281" i="7" l="1"/>
  <c r="I281" i="7" l="1"/>
  <c r="J281" i="7" l="1"/>
  <c r="F282" i="7" s="1"/>
  <c r="G281" i="7"/>
  <c r="H282" i="7" l="1"/>
  <c r="I282" i="7" l="1"/>
  <c r="J282" i="7" l="1"/>
  <c r="F283" i="7" s="1"/>
  <c r="G282" i="7"/>
  <c r="H283" i="7" l="1"/>
  <c r="I283" i="7" l="1"/>
  <c r="J283" i="7" l="1"/>
  <c r="F284" i="7" s="1"/>
  <c r="G283" i="7"/>
  <c r="H284" i="7" l="1"/>
  <c r="I284" i="7" l="1"/>
  <c r="J284" i="7" s="1"/>
  <c r="F285" i="7" s="1"/>
  <c r="H285" i="7" l="1"/>
  <c r="G284" i="7"/>
  <c r="I285" i="7" l="1"/>
  <c r="J285" i="7" s="1"/>
  <c r="F286" i="7" s="1"/>
  <c r="H286" i="7" l="1"/>
  <c r="G285" i="7"/>
  <c r="I286" i="7" l="1"/>
  <c r="J286" i="7" s="1"/>
  <c r="F287" i="7" s="1"/>
  <c r="H287" i="7" l="1"/>
  <c r="G286" i="7"/>
  <c r="I287" i="7" l="1"/>
  <c r="J287" i="7" s="1"/>
  <c r="F288" i="7" s="1"/>
  <c r="H288" i="7" l="1"/>
  <c r="G287" i="7"/>
  <c r="I288" i="7" l="1"/>
  <c r="J288" i="7" s="1"/>
  <c r="F289" i="7" s="1"/>
  <c r="H289" i="7" l="1"/>
  <c r="G288" i="7"/>
  <c r="I289" i="7" l="1"/>
  <c r="J289" i="7" s="1"/>
  <c r="F290" i="7" s="1"/>
  <c r="H290" i="7" l="1"/>
  <c r="G289" i="7"/>
  <c r="I290" i="7" l="1"/>
  <c r="K290" i="7"/>
  <c r="L290" i="7" l="1"/>
  <c r="M290" i="7" s="1"/>
  <c r="J290" i="7"/>
  <c r="F291" i="7" s="1"/>
  <c r="G290" i="7"/>
  <c r="H291" i="7" l="1"/>
  <c r="I291" i="7" l="1"/>
  <c r="J291" i="7" l="1"/>
  <c r="F292" i="7" s="1"/>
  <c r="G291" i="7"/>
  <c r="H292" i="7" l="1"/>
  <c r="I292" i="7" l="1"/>
  <c r="J292" i="7" l="1"/>
  <c r="F293" i="7" s="1"/>
  <c r="G292" i="7"/>
  <c r="H293" i="7" l="1"/>
  <c r="I293" i="7" l="1"/>
  <c r="J293" i="7" l="1"/>
  <c r="F294" i="7" s="1"/>
  <c r="G293" i="7"/>
  <c r="H294" i="7" l="1"/>
  <c r="I294" i="7" l="1"/>
  <c r="J294" i="7" l="1"/>
  <c r="F295" i="7" s="1"/>
  <c r="G294" i="7"/>
  <c r="H295" i="7" l="1"/>
  <c r="I295" i="7" l="1"/>
  <c r="J295" i="7" l="1"/>
  <c r="F296" i="7" s="1"/>
  <c r="G295" i="7"/>
  <c r="H296" i="7" l="1"/>
  <c r="I296" i="7" l="1"/>
  <c r="J296" i="7" s="1"/>
  <c r="F297" i="7" s="1"/>
  <c r="H297" i="7" l="1"/>
  <c r="G296" i="7"/>
  <c r="I297" i="7" l="1"/>
  <c r="J297" i="7" s="1"/>
  <c r="F298" i="7" s="1"/>
  <c r="H298" i="7" l="1"/>
  <c r="G297" i="7"/>
  <c r="I298" i="7" l="1"/>
  <c r="J298" i="7" s="1"/>
  <c r="F299" i="7" s="1"/>
  <c r="H299" i="7" l="1"/>
  <c r="G298" i="7"/>
  <c r="I299" i="7" l="1"/>
  <c r="J299" i="7" s="1"/>
  <c r="F300" i="7" s="1"/>
  <c r="H300" i="7" l="1"/>
  <c r="G299" i="7"/>
  <c r="I300" i="7" l="1"/>
  <c r="J300" i="7" s="1"/>
  <c r="F301" i="7" s="1"/>
  <c r="H301" i="7" l="1"/>
  <c r="G300" i="7"/>
  <c r="I301" i="7" l="1"/>
  <c r="J301" i="7" s="1"/>
  <c r="F302" i="7" s="1"/>
  <c r="H302" i="7" l="1"/>
  <c r="G301" i="7"/>
  <c r="I302" i="7" l="1"/>
  <c r="K302" i="7"/>
  <c r="L302" i="7" l="1"/>
  <c r="M302" i="7" s="1"/>
  <c r="J302" i="7"/>
  <c r="F303" i="7" s="1"/>
  <c r="G302" i="7"/>
  <c r="H303" i="7" l="1"/>
  <c r="I303" i="7" l="1"/>
  <c r="G303" i="7" s="1"/>
  <c r="J303" i="7" l="1"/>
  <c r="F304" i="7" s="1"/>
  <c r="H304" i="7" l="1"/>
  <c r="I304" i="7" l="1"/>
  <c r="J304" i="7" l="1"/>
  <c r="F305" i="7" s="1"/>
  <c r="G304" i="7"/>
  <c r="H305" i="7" l="1"/>
  <c r="I305" i="7" l="1"/>
  <c r="J305" i="7" l="1"/>
  <c r="F306" i="7" s="1"/>
  <c r="G305" i="7"/>
  <c r="H306" i="7" l="1"/>
  <c r="I306" i="7" l="1"/>
  <c r="J306" i="7" l="1"/>
  <c r="F307" i="7" s="1"/>
  <c r="G306" i="7"/>
  <c r="H307" i="7" l="1"/>
  <c r="I307" i="7" l="1"/>
  <c r="J307" i="7" l="1"/>
  <c r="F308" i="7" s="1"/>
  <c r="G307" i="7"/>
  <c r="H308" i="7" l="1"/>
  <c r="I308" i="7" l="1"/>
  <c r="J308" i="7" s="1"/>
  <c r="F309" i="7" s="1"/>
  <c r="G308" i="7" l="1"/>
  <c r="H309" i="7"/>
  <c r="I309" i="7" l="1"/>
  <c r="J309" i="7" s="1"/>
  <c r="F310" i="7" s="1"/>
  <c r="H310" i="7" l="1"/>
  <c r="G309" i="7"/>
  <c r="I310" i="7" l="1"/>
  <c r="J310" i="7" s="1"/>
  <c r="F311" i="7" s="1"/>
  <c r="H311" i="7" l="1"/>
  <c r="G310" i="7"/>
  <c r="I311" i="7" l="1"/>
  <c r="J311" i="7" s="1"/>
  <c r="F312" i="7" s="1"/>
  <c r="H312" i="7" l="1"/>
  <c r="G311" i="7"/>
  <c r="I312" i="7" l="1"/>
  <c r="J312" i="7" s="1"/>
  <c r="F313" i="7" s="1"/>
  <c r="H313" i="7" l="1"/>
  <c r="G312" i="7"/>
  <c r="I313" i="7" l="1"/>
  <c r="J313" i="7" s="1"/>
  <c r="F314" i="7" s="1"/>
  <c r="H314" i="7" l="1"/>
  <c r="G313" i="7"/>
  <c r="I314" i="7" l="1"/>
  <c r="K314" i="7"/>
  <c r="L314" i="7" l="1"/>
  <c r="M314" i="7" s="1"/>
  <c r="J314" i="7"/>
  <c r="F315" i="7" s="1"/>
  <c r="G314" i="7"/>
  <c r="H315" i="7" l="1"/>
  <c r="I315" i="7" l="1"/>
  <c r="J315" i="7" l="1"/>
  <c r="F316" i="7" s="1"/>
  <c r="G315" i="7"/>
  <c r="H316" i="7" l="1"/>
  <c r="I316" i="7" l="1"/>
  <c r="J316" i="7" l="1"/>
  <c r="F317" i="7" s="1"/>
  <c r="G316" i="7"/>
  <c r="H317" i="7" l="1"/>
  <c r="I317" i="7" l="1"/>
  <c r="J317" i="7" l="1"/>
  <c r="F318" i="7" s="1"/>
  <c r="G317" i="7"/>
  <c r="H318" i="7" l="1"/>
  <c r="I318" i="7" l="1"/>
  <c r="J318" i="7" l="1"/>
  <c r="F319" i="7" s="1"/>
  <c r="G318" i="7"/>
  <c r="H319" i="7" l="1"/>
  <c r="I319" i="7" l="1"/>
  <c r="J319" i="7" l="1"/>
  <c r="F320" i="7" s="1"/>
  <c r="G319" i="7"/>
  <c r="H320" i="7" l="1"/>
  <c r="I320" i="7" l="1"/>
  <c r="J320" i="7" s="1"/>
  <c r="F321" i="7" s="1"/>
  <c r="H321" i="7" l="1"/>
  <c r="G320" i="7"/>
  <c r="I321" i="7" l="1"/>
  <c r="J321" i="7" s="1"/>
  <c r="F322" i="7" s="1"/>
  <c r="H322" i="7" l="1"/>
  <c r="G321" i="7"/>
  <c r="I322" i="7" l="1"/>
  <c r="J322" i="7" s="1"/>
  <c r="F323" i="7" s="1"/>
  <c r="H323" i="7" l="1"/>
  <c r="G322" i="7"/>
  <c r="I323" i="7" l="1"/>
  <c r="J323" i="7" s="1"/>
  <c r="F324" i="7" s="1"/>
  <c r="H324" i="7" l="1"/>
  <c r="G323" i="7"/>
  <c r="I324" i="7" l="1"/>
  <c r="J324" i="7" s="1"/>
  <c r="F325" i="7" s="1"/>
  <c r="H325" i="7" l="1"/>
  <c r="G324" i="7"/>
  <c r="I325" i="7" l="1"/>
  <c r="J325" i="7" s="1"/>
  <c r="F326" i="7" s="1"/>
  <c r="H326" i="7" l="1"/>
  <c r="G325" i="7"/>
  <c r="I326" i="7" l="1"/>
  <c r="K326" i="7"/>
  <c r="L326" i="7" l="1"/>
  <c r="M326" i="7" s="1"/>
  <c r="J326" i="7"/>
  <c r="F327" i="7" s="1"/>
  <c r="G326" i="7"/>
  <c r="H327" i="7" l="1"/>
  <c r="I327" i="7" l="1"/>
  <c r="J327" i="7" l="1"/>
  <c r="F328" i="7" s="1"/>
  <c r="G327" i="7"/>
  <c r="H328" i="7" l="1"/>
  <c r="I328" i="7" l="1"/>
  <c r="J328" i="7" l="1"/>
  <c r="F329" i="7" s="1"/>
  <c r="G328" i="7"/>
  <c r="H329" i="7" l="1"/>
  <c r="I329" i="7" l="1"/>
  <c r="J329" i="7" l="1"/>
  <c r="F330" i="7" s="1"/>
  <c r="G329" i="7"/>
  <c r="H330" i="7" l="1"/>
  <c r="I330" i="7" l="1"/>
  <c r="J330" i="7" l="1"/>
  <c r="F331" i="7" s="1"/>
  <c r="G330" i="7"/>
  <c r="H331" i="7" l="1"/>
  <c r="I331" i="7" l="1"/>
  <c r="J331" i="7" l="1"/>
  <c r="F332" i="7" s="1"/>
  <c r="G331" i="7"/>
  <c r="H332" i="7" l="1"/>
  <c r="I332" i="7" l="1"/>
  <c r="J332" i="7" s="1"/>
  <c r="F333" i="7" s="1"/>
  <c r="H333" i="7" l="1"/>
  <c r="G332" i="7"/>
  <c r="I333" i="7" l="1"/>
  <c r="J333" i="7" s="1"/>
  <c r="F334" i="7" s="1"/>
  <c r="H334" i="7" l="1"/>
  <c r="G333" i="7"/>
  <c r="I334" i="7" l="1"/>
  <c r="J334" i="7" s="1"/>
  <c r="F335" i="7" s="1"/>
  <c r="H335" i="7" l="1"/>
  <c r="G334" i="7"/>
  <c r="I335" i="7" l="1"/>
  <c r="J335" i="7" s="1"/>
  <c r="F336" i="7" s="1"/>
  <c r="H336" i="7" l="1"/>
  <c r="G335" i="7"/>
  <c r="I336" i="7" l="1"/>
  <c r="J336" i="7" s="1"/>
  <c r="F337" i="7" s="1"/>
  <c r="H337" i="7" l="1"/>
  <c r="G336" i="7"/>
  <c r="I337" i="7" l="1"/>
  <c r="J337" i="7" s="1"/>
  <c r="F338" i="7" s="1"/>
  <c r="H338" i="7" l="1"/>
  <c r="G337" i="7"/>
  <c r="I338" i="7" l="1"/>
  <c r="K338" i="7"/>
  <c r="L338" i="7" l="1"/>
  <c r="M338" i="7" s="1"/>
  <c r="J338" i="7"/>
  <c r="F339" i="7" s="1"/>
  <c r="G338" i="7"/>
  <c r="H339" i="7" l="1"/>
  <c r="I339" i="7" l="1"/>
  <c r="J339" i="7" l="1"/>
  <c r="F340" i="7" s="1"/>
  <c r="G339" i="7"/>
  <c r="H340" i="7" l="1"/>
  <c r="I340" i="7" l="1"/>
  <c r="J340" i="7" l="1"/>
  <c r="F341" i="7" s="1"/>
  <c r="G340" i="7"/>
  <c r="H341" i="7" l="1"/>
  <c r="I341" i="7" l="1"/>
  <c r="J341" i="7" l="1"/>
  <c r="F342" i="7" s="1"/>
  <c r="G341" i="7"/>
  <c r="H342" i="7" l="1"/>
  <c r="I342" i="7" l="1"/>
  <c r="J342" i="7" l="1"/>
  <c r="F343" i="7" s="1"/>
  <c r="G342" i="7"/>
  <c r="H343" i="7" l="1"/>
  <c r="I343" i="7" l="1"/>
  <c r="J343" i="7" l="1"/>
  <c r="F344" i="7" s="1"/>
  <c r="G343" i="7"/>
  <c r="H344" i="7" l="1"/>
  <c r="I344" i="7" l="1"/>
  <c r="J344" i="7" s="1"/>
  <c r="F345" i="7" s="1"/>
  <c r="H345" i="7" l="1"/>
  <c r="G344" i="7"/>
  <c r="I345" i="7" l="1"/>
  <c r="J345" i="7" s="1"/>
  <c r="F346" i="7" s="1"/>
  <c r="H346" i="7" l="1"/>
  <c r="G345" i="7"/>
  <c r="I346" i="7" l="1"/>
  <c r="J346" i="7" s="1"/>
  <c r="F347" i="7" s="1"/>
  <c r="H347" i="7" l="1"/>
  <c r="G346" i="7"/>
  <c r="I347" i="7" l="1"/>
  <c r="J347" i="7" s="1"/>
  <c r="F348" i="7" s="1"/>
  <c r="H348" i="7" l="1"/>
  <c r="G347" i="7"/>
  <c r="I348" i="7" l="1"/>
  <c r="J348" i="7" s="1"/>
  <c r="F349" i="7" s="1"/>
  <c r="H349" i="7" l="1"/>
  <c r="G348" i="7"/>
  <c r="I349" i="7" l="1"/>
  <c r="J349" i="7" s="1"/>
  <c r="F350" i="7" s="1"/>
  <c r="H350" i="7" l="1"/>
  <c r="G349" i="7"/>
  <c r="I350" i="7" l="1"/>
  <c r="K350" i="7"/>
  <c r="L350" i="7" l="1"/>
  <c r="M350" i="7" s="1"/>
  <c r="J350" i="7"/>
  <c r="F351" i="7" s="1"/>
  <c r="G350" i="7"/>
  <c r="H351" i="7" l="1"/>
  <c r="I351" i="7" l="1"/>
  <c r="J351" i="7" l="1"/>
  <c r="F352" i="7" s="1"/>
  <c r="G351" i="7"/>
  <c r="H352" i="7" l="1"/>
  <c r="I352" i="7" l="1"/>
  <c r="J352" i="7" l="1"/>
  <c r="F353" i="7" s="1"/>
  <c r="G352" i="7"/>
  <c r="H353" i="7" l="1"/>
  <c r="I353" i="7" l="1"/>
  <c r="J353" i="7" l="1"/>
  <c r="F354" i="7" s="1"/>
  <c r="G353" i="7"/>
  <c r="H354" i="7" l="1"/>
  <c r="I354" i="7" l="1"/>
  <c r="J354" i="7" l="1"/>
  <c r="F355" i="7" s="1"/>
  <c r="G354" i="7"/>
  <c r="H355" i="7" l="1"/>
  <c r="I355" i="7" l="1"/>
  <c r="J355" i="7" l="1"/>
  <c r="F356" i="7" s="1"/>
  <c r="G355" i="7"/>
  <c r="H356" i="7" l="1"/>
  <c r="I356" i="7" l="1"/>
  <c r="J356" i="7" s="1"/>
  <c r="F357" i="7" s="1"/>
  <c r="H357" i="7" l="1"/>
  <c r="G356" i="7"/>
  <c r="I357" i="7" l="1"/>
  <c r="J357" i="7" s="1"/>
  <c r="F358" i="7" s="1"/>
  <c r="H358" i="7" l="1"/>
  <c r="G357" i="7"/>
  <c r="I358" i="7" l="1"/>
  <c r="J358" i="7" s="1"/>
  <c r="F359" i="7" s="1"/>
  <c r="H359" i="7" l="1"/>
  <c r="G358" i="7"/>
  <c r="I359" i="7" l="1"/>
  <c r="J359" i="7" s="1"/>
  <c r="F360" i="7" s="1"/>
  <c r="H360" i="7" l="1"/>
  <c r="G359" i="7"/>
  <c r="I360" i="7" l="1"/>
  <c r="J360" i="7" s="1"/>
  <c r="F361" i="7" s="1"/>
  <c r="H361" i="7" l="1"/>
  <c r="G360" i="7"/>
  <c r="I361" i="7" l="1"/>
  <c r="J361" i="7" s="1"/>
  <c r="F362" i="7" s="1"/>
  <c r="H362" i="7" l="1"/>
  <c r="G361" i="7"/>
  <c r="I362" i="7" l="1"/>
  <c r="K362" i="7"/>
  <c r="L362" i="7" l="1"/>
  <c r="M362" i="7" s="1"/>
  <c r="J362" i="7"/>
  <c r="F363" i="7" s="1"/>
  <c r="G362" i="7"/>
  <c r="H363" i="7" l="1"/>
  <c r="I363" i="7" l="1"/>
  <c r="J363" i="7" l="1"/>
  <c r="F364" i="7" s="1"/>
  <c r="G363" i="7"/>
  <c r="H364" i="7" l="1"/>
  <c r="I364" i="7" l="1"/>
  <c r="J364" i="7" l="1"/>
  <c r="F365" i="7" s="1"/>
  <c r="G364" i="7"/>
  <c r="H365" i="7" l="1"/>
  <c r="I365" i="7" l="1"/>
  <c r="J365" i="7" l="1"/>
  <c r="F366" i="7" s="1"/>
  <c r="G365" i="7"/>
  <c r="H366" i="7" l="1"/>
  <c r="I366" i="7" l="1"/>
  <c r="J366" i="7" l="1"/>
  <c r="F367" i="7" s="1"/>
  <c r="G366" i="7"/>
  <c r="H367" i="7" l="1"/>
  <c r="I367" i="7" l="1"/>
  <c r="J367" i="7" l="1"/>
  <c r="F368" i="7" s="1"/>
  <c r="G367" i="7"/>
  <c r="H368" i="7" l="1"/>
  <c r="I368" i="7" l="1"/>
  <c r="J368" i="7" s="1"/>
  <c r="F369" i="7" s="1"/>
  <c r="H369" i="7" l="1"/>
  <c r="G368" i="7"/>
  <c r="I369" i="7" l="1"/>
  <c r="J369" i="7" s="1"/>
  <c r="F370" i="7" s="1"/>
  <c r="H370" i="7" l="1"/>
  <c r="G369" i="7"/>
  <c r="I370" i="7" l="1"/>
  <c r="J370" i="7" s="1"/>
  <c r="F371" i="7" s="1"/>
  <c r="H371" i="7" l="1"/>
  <c r="G370" i="7"/>
  <c r="I371" i="7" l="1"/>
  <c r="J371" i="7" s="1"/>
  <c r="F372" i="7" s="1"/>
  <c r="H372" i="7" l="1"/>
  <c r="G371" i="7"/>
  <c r="I372" i="7" l="1"/>
  <c r="J372" i="7" s="1"/>
  <c r="F373" i="7" s="1"/>
  <c r="H373" i="7" l="1"/>
  <c r="G372" i="7"/>
  <c r="I373" i="7" l="1"/>
  <c r="J373" i="7" s="1"/>
  <c r="F374" i="7" s="1"/>
  <c r="H374" i="7" l="1"/>
  <c r="G373" i="7"/>
  <c r="I374" i="7" l="1"/>
  <c r="K374" i="7"/>
  <c r="L374" i="7" l="1"/>
  <c r="M374" i="7" s="1"/>
  <c r="J374" i="7"/>
  <c r="F375" i="7" s="1"/>
  <c r="G374" i="7"/>
  <c r="H375" i="7" l="1"/>
  <c r="I375" i="7" l="1"/>
  <c r="J375" i="7" l="1"/>
  <c r="F376" i="7" s="1"/>
  <c r="G375" i="7"/>
  <c r="H376" i="7" l="1"/>
  <c r="I376" i="7" l="1"/>
  <c r="J376" i="7" l="1"/>
  <c r="F377" i="7" s="1"/>
  <c r="G376" i="7"/>
  <c r="H377" i="7" l="1"/>
  <c r="I377" i="7" l="1"/>
  <c r="J377" i="7" l="1"/>
  <c r="F378" i="7" s="1"/>
  <c r="G377" i="7"/>
  <c r="H378" i="7" l="1"/>
  <c r="I378" i="7" l="1"/>
  <c r="J378" i="7" l="1"/>
  <c r="F379" i="7" s="1"/>
  <c r="G378" i="7"/>
  <c r="H379" i="7" l="1"/>
  <c r="I379" i="7" l="1"/>
  <c r="J379" i="7" l="1"/>
  <c r="F380" i="7" s="1"/>
  <c r="G379" i="7"/>
  <c r="H380" i="7" l="1"/>
  <c r="I380" i="7" l="1"/>
  <c r="J380" i="7" s="1"/>
  <c r="F381" i="7" s="1"/>
  <c r="G380" i="7" l="1"/>
  <c r="H381" i="7"/>
  <c r="I381" i="7" l="1"/>
  <c r="J381" i="7" s="1"/>
  <c r="F382" i="7" s="1"/>
  <c r="H382" i="7" l="1"/>
  <c r="G381" i="7"/>
  <c r="I382" i="7" l="1"/>
  <c r="J382" i="7" s="1"/>
  <c r="F383" i="7" s="1"/>
  <c r="H383" i="7" l="1"/>
  <c r="G382" i="7"/>
  <c r="I383" i="7" l="1"/>
  <c r="J383" i="7" s="1"/>
  <c r="F384" i="7" s="1"/>
  <c r="H384" i="7" l="1"/>
  <c r="G383" i="7"/>
  <c r="I384" i="7" l="1"/>
  <c r="J384" i="7" s="1"/>
  <c r="F385" i="7" s="1"/>
  <c r="H385" i="7" l="1"/>
  <c r="G384" i="7"/>
  <c r="I385" i="7" l="1"/>
  <c r="J385" i="7" s="1"/>
  <c r="F386" i="7" s="1"/>
  <c r="H386" i="7" l="1"/>
  <c r="G385" i="7"/>
  <c r="I386" i="7" l="1"/>
  <c r="K386" i="7"/>
  <c r="L386" i="7" l="1"/>
  <c r="M386" i="7" s="1"/>
  <c r="J386" i="7"/>
  <c r="F387" i="7" s="1"/>
  <c r="G386" i="7"/>
  <c r="H387" i="7" l="1"/>
  <c r="I387" i="7" l="1"/>
  <c r="J387" i="7" l="1"/>
  <c r="F388" i="7" s="1"/>
  <c r="G387" i="7"/>
  <c r="H388" i="7" l="1"/>
  <c r="I388" i="7" l="1"/>
  <c r="J388" i="7" l="1"/>
  <c r="F389" i="7" s="1"/>
  <c r="G388" i="7"/>
  <c r="H389" i="7" l="1"/>
  <c r="I389" i="7" l="1"/>
  <c r="J389" i="7" l="1"/>
  <c r="F390" i="7" s="1"/>
  <c r="G389" i="7"/>
  <c r="H390" i="7" l="1"/>
  <c r="I390" i="7" l="1"/>
  <c r="J390" i="7" l="1"/>
  <c r="F391" i="7" s="1"/>
  <c r="G390" i="7"/>
  <c r="H391" i="7" l="1"/>
  <c r="I391" i="7" l="1"/>
  <c r="J391" i="7" l="1"/>
  <c r="F392" i="7" s="1"/>
  <c r="G391" i="7"/>
  <c r="H392" i="7" l="1"/>
  <c r="I392" i="7" l="1"/>
  <c r="J392" i="7" s="1"/>
  <c r="F393" i="7" s="1"/>
  <c r="H393" i="7" l="1"/>
  <c r="G392" i="7"/>
  <c r="I393" i="7" l="1"/>
  <c r="J393" i="7" s="1"/>
  <c r="F394" i="7" s="1"/>
  <c r="H394" i="7" l="1"/>
  <c r="G393" i="7"/>
  <c r="I394" i="7" l="1"/>
  <c r="J394" i="7" s="1"/>
  <c r="F395" i="7" s="1"/>
  <c r="H395" i="7" l="1"/>
  <c r="G394" i="7"/>
  <c r="I395" i="7" l="1"/>
  <c r="J395" i="7" s="1"/>
  <c r="F396" i="7" s="1"/>
  <c r="H396" i="7" l="1"/>
  <c r="G395" i="7"/>
  <c r="I396" i="7" l="1"/>
  <c r="J396" i="7" s="1"/>
  <c r="F397" i="7" s="1"/>
  <c r="H397" i="7" l="1"/>
  <c r="G396" i="7"/>
  <c r="I397" i="7" l="1"/>
  <c r="J397" i="7" s="1"/>
  <c r="F398" i="7" s="1"/>
  <c r="H398" i="7" l="1"/>
  <c r="G397" i="7"/>
  <c r="I398" i="7" l="1"/>
  <c r="K398" i="7"/>
  <c r="L398" i="7" l="1"/>
  <c r="M398" i="7" s="1"/>
  <c r="J398" i="7"/>
  <c r="G398" i="7"/>
  <c r="C36" i="5"/>
  <c r="C37" i="5"/>
  <c r="C38" i="5"/>
  <c r="D38" i="5"/>
  <c r="E38" i="5"/>
  <c r="F38" i="5"/>
  <c r="G38" i="5"/>
  <c r="H38" i="5"/>
  <c r="I38" i="5"/>
  <c r="J38" i="5"/>
  <c r="K38" i="5"/>
  <c r="L38" i="5"/>
  <c r="M38" i="5"/>
  <c r="C39" i="5"/>
  <c r="D39" i="5"/>
  <c r="E39" i="5"/>
  <c r="F39" i="5"/>
  <c r="G39" i="5"/>
  <c r="H39" i="5"/>
  <c r="I39" i="5"/>
  <c r="J39" i="5"/>
  <c r="K39" i="5"/>
  <c r="L39" i="5"/>
  <c r="M39" i="5"/>
  <c r="C40" i="5"/>
  <c r="C44" i="5"/>
  <c r="C45" i="5"/>
  <c r="C46" i="5"/>
  <c r="D46" i="5"/>
  <c r="E46" i="5"/>
  <c r="F46" i="5"/>
  <c r="G46" i="5"/>
  <c r="H46" i="5"/>
  <c r="I46" i="5"/>
  <c r="J46" i="5"/>
  <c r="K46" i="5"/>
  <c r="L46" i="5"/>
  <c r="M46" i="5"/>
  <c r="C47" i="5"/>
  <c r="D47" i="5"/>
  <c r="E47" i="5"/>
  <c r="F47" i="5"/>
  <c r="G47" i="5"/>
  <c r="H47" i="5"/>
  <c r="I47" i="5"/>
  <c r="J47" i="5"/>
  <c r="K47" i="5"/>
  <c r="L47" i="5"/>
  <c r="M47" i="5"/>
  <c r="C48" i="5"/>
  <c r="C52" i="5"/>
  <c r="C53" i="5"/>
  <c r="C54" i="5"/>
  <c r="D54" i="5"/>
  <c r="E54" i="5"/>
  <c r="F54" i="5"/>
  <c r="G54" i="5"/>
  <c r="H54" i="5"/>
  <c r="I54" i="5"/>
  <c r="J54" i="5"/>
  <c r="K54" i="5"/>
  <c r="L54" i="5"/>
  <c r="M54" i="5"/>
  <c r="C55" i="5"/>
  <c r="D55" i="5"/>
  <c r="E55" i="5"/>
  <c r="F55" i="5"/>
  <c r="G55" i="5"/>
  <c r="H55" i="5"/>
  <c r="I55" i="5"/>
  <c r="J55" i="5"/>
  <c r="K55" i="5"/>
  <c r="L55" i="5"/>
  <c r="M55" i="5"/>
  <c r="C56" i="5"/>
</calcChain>
</file>

<file path=xl/comments1.xml><?xml version="1.0" encoding="utf-8"?>
<comments xmlns="http://schemas.openxmlformats.org/spreadsheetml/2006/main">
  <authors>
    <author>Peter Lynch</author>
  </authors>
  <commentList>
    <comment ref="C30" authorId="0" shapeId="0">
      <text>
        <r>
          <rPr>
            <b/>
            <sz val="9"/>
            <color indexed="81"/>
            <rFont val="Tahoma"/>
            <family val="2"/>
          </rPr>
          <t>Peter Lynch:</t>
        </r>
        <r>
          <rPr>
            <sz val="9"/>
            <color indexed="81"/>
            <rFont val="Tahoma"/>
            <family val="2"/>
          </rPr>
          <t xml:space="preserve">
50 bps to 75 bps over Scenario 2 year 1 cap rate.</t>
        </r>
      </text>
    </comment>
  </commentList>
</comments>
</file>

<file path=xl/comments2.xml><?xml version="1.0" encoding="utf-8"?>
<comments xmlns="http://schemas.openxmlformats.org/spreadsheetml/2006/main">
  <authors>
    <author>Peter Lynch</author>
  </authors>
  <commentList>
    <comment ref="P6" authorId="0" shapeId="0">
      <text>
        <r>
          <rPr>
            <b/>
            <sz val="9"/>
            <color indexed="81"/>
            <rFont val="Tahoma"/>
            <family val="2"/>
          </rPr>
          <t>Peter Lynch:</t>
        </r>
        <r>
          <rPr>
            <sz val="9"/>
            <color indexed="81"/>
            <rFont val="Tahoma"/>
            <family val="2"/>
          </rPr>
          <t xml:space="preserve">
Loss to Lease</t>
        </r>
      </text>
    </comment>
  </commentList>
</comments>
</file>

<file path=xl/sharedStrings.xml><?xml version="1.0" encoding="utf-8"?>
<sst xmlns="http://schemas.openxmlformats.org/spreadsheetml/2006/main" count="647" uniqueCount="227">
  <si>
    <t>Operating Statement</t>
  </si>
  <si>
    <t>Trailing 12</t>
  </si>
  <si>
    <t>Trailing 9</t>
  </si>
  <si>
    <t>Trailing 6</t>
  </si>
  <si>
    <t>Trailing 3</t>
  </si>
  <si>
    <t>Trailing 1</t>
  </si>
  <si>
    <t>Actual</t>
  </si>
  <si>
    <t>Total</t>
  </si>
  <si>
    <t>Annualized</t>
  </si>
  <si>
    <t>Effective Rental Income</t>
  </si>
  <si>
    <t>Gain/Loss to Lease</t>
  </si>
  <si>
    <t>Vacancy</t>
  </si>
  <si>
    <t>Concessions</t>
  </si>
  <si>
    <t>Delinquency/Credit Loss/Bad Debt</t>
  </si>
  <si>
    <t>Total Rental Income</t>
  </si>
  <si>
    <t>Other Income</t>
  </si>
  <si>
    <t>Late Fee Revenue</t>
  </si>
  <si>
    <t>Other Resident Revenue</t>
  </si>
  <si>
    <t>Total Other Income</t>
  </si>
  <si>
    <t xml:space="preserve">    TOTAL INCOME</t>
  </si>
  <si>
    <t>OPERATING EXPENSES</t>
  </si>
  <si>
    <t>Supplies</t>
  </si>
  <si>
    <t>Repairs and Maintenance</t>
  </si>
  <si>
    <t>Contract Services</t>
  </si>
  <si>
    <t>Telephone</t>
  </si>
  <si>
    <t>Advertising</t>
  </si>
  <si>
    <t>Staff Development</t>
  </si>
  <si>
    <t>Professional Fees</t>
  </si>
  <si>
    <t xml:space="preserve">Miscellaneous </t>
  </si>
  <si>
    <t>Equipment Lease</t>
  </si>
  <si>
    <t>Real Estate Taxes</t>
  </si>
  <si>
    <t>Property Liability/Insurance</t>
  </si>
  <si>
    <t xml:space="preserve">Management Fees </t>
  </si>
  <si>
    <t xml:space="preserve">    TOTAL OPERATING EXPENSES</t>
  </si>
  <si>
    <t>NET OPERATING INCOME (NOI)</t>
  </si>
  <si>
    <t>Building I Want</t>
  </si>
  <si>
    <t>INCOME</t>
  </si>
  <si>
    <t>CAPITAL EXPENDITURES</t>
  </si>
  <si>
    <t>CASH FLOW FROM OPERATIONS</t>
  </si>
  <si>
    <t>Cash Flow Projections</t>
  </si>
  <si>
    <t>Pricing</t>
  </si>
  <si>
    <t>Bed</t>
  </si>
  <si>
    <t>PSF</t>
  </si>
  <si>
    <t>New Loan</t>
  </si>
  <si>
    <t>Calculation of Residual</t>
  </si>
  <si>
    <t>Purchase Price</t>
  </si>
  <si>
    <t>New Loan Amount</t>
  </si>
  <si>
    <t>Holding Period</t>
  </si>
  <si>
    <t>Status</t>
  </si>
  <si>
    <t>Acquisitions Reserves</t>
  </si>
  <si>
    <t>LTV</t>
  </si>
  <si>
    <t>Residual Cap Rate</t>
  </si>
  <si>
    <t>Interest Rate</t>
  </si>
  <si>
    <t xml:space="preserve">Gross Residual </t>
  </si>
  <si>
    <t>Start Date</t>
  </si>
  <si>
    <t>Cost of Sale</t>
  </si>
  <si>
    <t>Total Equity Required</t>
  </si>
  <si>
    <t>Maturity</t>
  </si>
  <si>
    <t>Net Residual Value</t>
  </si>
  <si>
    <t>Term</t>
  </si>
  <si>
    <t>Outstanding Loan Balance</t>
  </si>
  <si>
    <t>Amortization</t>
  </si>
  <si>
    <t>Net Residual After OLB</t>
  </si>
  <si>
    <t>Years of Interest Only</t>
  </si>
  <si>
    <t>Amortization Period</t>
  </si>
  <si>
    <t>Annual Payment</t>
  </si>
  <si>
    <t>Loan Constant</t>
  </si>
  <si>
    <t>Current Market Rents</t>
  </si>
  <si>
    <t>Loss to Lease</t>
  </si>
  <si>
    <t>Gross Potential Income</t>
  </si>
  <si>
    <t>EXPENSES</t>
  </si>
  <si>
    <t>Management Fee</t>
  </si>
  <si>
    <t xml:space="preserve">Property/Liability Insurance </t>
  </si>
  <si>
    <t>TOTAL EXPENSES</t>
  </si>
  <si>
    <t>NET OPERATING INCOME</t>
  </si>
  <si>
    <t>DEBT FINANCING</t>
  </si>
  <si>
    <t>Debt Service</t>
  </si>
  <si>
    <t>CASH FLOW AFTER DEBT FINANCING</t>
  </si>
  <si>
    <t>ASSUMPTIONS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</si>
  <si>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</si>
  <si>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</si>
  <si>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</si>
  <si>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</si>
  <si>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</si>
  <si>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</si>
  <si>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</si>
  <si>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</si>
  <si>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</si>
  <si>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</si>
  <si>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Year 11</t>
  </si>
  <si>
    <t>Market Rent Growth</t>
  </si>
  <si>
    <t>Inflation Factor</t>
  </si>
  <si>
    <t>Unleveraged Return</t>
  </si>
  <si>
    <t>Acquisition</t>
  </si>
  <si>
    <t>CF</t>
  </si>
  <si>
    <t>Capital Events</t>
  </si>
  <si>
    <t>Leveraged Return</t>
  </si>
  <si>
    <t>Returns</t>
  </si>
  <si>
    <t>Capitalization Rate</t>
  </si>
  <si>
    <t>Leveraged Cash Return</t>
  </si>
  <si>
    <t>Unit</t>
  </si>
  <si>
    <t>Per Unit</t>
  </si>
  <si>
    <t>Units</t>
  </si>
  <si>
    <t>Pro Forma</t>
  </si>
  <si>
    <t>Rent Roll Analysis</t>
  </si>
  <si>
    <t>Property Name</t>
  </si>
  <si>
    <t>Rent Roll Date</t>
  </si>
  <si>
    <t>E</t>
  </si>
  <si>
    <t>Vacant</t>
  </si>
  <si>
    <t xml:space="preserve">Occupied </t>
  </si>
  <si>
    <t>ID</t>
  </si>
  <si>
    <t>Type</t>
  </si>
  <si>
    <t>SF</t>
  </si>
  <si>
    <t>Move-In</t>
  </si>
  <si>
    <t>Start</t>
  </si>
  <si>
    <t>Market Rent</t>
  </si>
  <si>
    <t>Lease Rent</t>
  </si>
  <si>
    <t xml:space="preserve">% Loss  </t>
  </si>
  <si>
    <t>Occupied</t>
  </si>
  <si>
    <t>Count</t>
  </si>
  <si>
    <t>Unit ID</t>
  </si>
  <si>
    <t>Unit Type</t>
  </si>
  <si>
    <t>Unit SF</t>
  </si>
  <si>
    <t>Unit Status</t>
  </si>
  <si>
    <t>Move In Date</t>
  </si>
  <si>
    <t>Lease Start</t>
  </si>
  <si>
    <t>START DATE</t>
  </si>
  <si>
    <t>LTL</t>
  </si>
  <si>
    <t>to Lease</t>
  </si>
  <si>
    <t>B</t>
  </si>
  <si>
    <t>l</t>
  </si>
  <si>
    <t>A</t>
  </si>
  <si>
    <t>D</t>
  </si>
  <si>
    <t>C</t>
  </si>
  <si>
    <t>v</t>
  </si>
  <si>
    <t>Assumptions</t>
  </si>
  <si>
    <t>1st Mortgage</t>
  </si>
  <si>
    <t>Term:</t>
  </si>
  <si>
    <t>Start Date:</t>
  </si>
  <si>
    <t>Interest per Period</t>
  </si>
  <si>
    <t>Amo Starts:</t>
  </si>
  <si>
    <t>Date of Value:</t>
  </si>
  <si>
    <t>Number of Payments</t>
  </si>
  <si>
    <t>IO Remaining:</t>
  </si>
  <si>
    <t>Monthly Payment</t>
  </si>
  <si>
    <t>Total Annual Payment</t>
  </si>
  <si>
    <t>Beginning</t>
  </si>
  <si>
    <t>End</t>
  </si>
  <si>
    <t>Year</t>
  </si>
  <si>
    <t>Interest</t>
  </si>
  <si>
    <t>Principal</t>
  </si>
  <si>
    <t>Balance</t>
  </si>
  <si>
    <t>Payment</t>
  </si>
  <si>
    <t>Month</t>
  </si>
  <si>
    <t xml:space="preserve">Loan </t>
  </si>
  <si>
    <t>Amortization Year</t>
  </si>
  <si>
    <t>PMT</t>
  </si>
  <si>
    <t>Int Pmt</t>
  </si>
  <si>
    <t>PMTS</t>
  </si>
  <si>
    <t xml:space="preserve">Market </t>
  </si>
  <si>
    <t>Lease</t>
  </si>
  <si>
    <t>Market</t>
  </si>
  <si>
    <t>%</t>
  </si>
  <si>
    <t>Unit Description</t>
  </si>
  <si>
    <t>Rent</t>
  </si>
  <si>
    <t>1 BR/BA</t>
  </si>
  <si>
    <t>2 BR/BA</t>
  </si>
  <si>
    <t>SF Total</t>
  </si>
  <si>
    <t>SF / Unit</t>
  </si>
  <si>
    <t>$ / UNIT</t>
  </si>
  <si>
    <t>Total Variable Expenses</t>
  </si>
  <si>
    <t>Total Fixed Expenses</t>
  </si>
  <si>
    <t>Variable Expenses</t>
  </si>
  <si>
    <t>x</t>
  </si>
  <si>
    <t>Rent Roll Summary</t>
  </si>
  <si>
    <t>Amortization Schedule</t>
  </si>
  <si>
    <t>Property Name:</t>
  </si>
  <si>
    <t xml:space="preserve">Monthly Rent </t>
  </si>
  <si>
    <t>Annual Rent</t>
  </si>
  <si>
    <t>Total Sq Ft</t>
  </si>
  <si>
    <t/>
  </si>
  <si>
    <t>Non Revenue / Respite Units</t>
  </si>
  <si>
    <t>Concessions / Discounts</t>
  </si>
  <si>
    <t>Bad Debt</t>
  </si>
  <si>
    <t>First Year Principal Payment Required</t>
  </si>
  <si>
    <t>Exit Year</t>
  </si>
  <si>
    <t>Debt Schedule</t>
  </si>
  <si>
    <t>Loan</t>
  </si>
  <si>
    <t>Scenario</t>
  </si>
  <si>
    <t>SCENARIO</t>
  </si>
  <si>
    <t>High</t>
  </si>
  <si>
    <t>Mid</t>
  </si>
  <si>
    <t>Low</t>
  </si>
  <si>
    <t>Hold Period</t>
  </si>
  <si>
    <t>Cost of Sale (% of Gross Residual)</t>
  </si>
  <si>
    <t>Property Valuation Analysis</t>
  </si>
  <si>
    <t>Returns Summary - Current</t>
  </si>
  <si>
    <t>Returns Summary - Scenario</t>
  </si>
  <si>
    <t>Must cycle through all options for returns (B30:M54) to work.</t>
  </si>
  <si>
    <t>Transaction Date</t>
  </si>
  <si>
    <t>Rental Income</t>
  </si>
  <si>
    <t>Equity</t>
  </si>
  <si>
    <t>11/31/2016</t>
  </si>
  <si>
    <t>Year 1 Pro Forma</t>
  </si>
  <si>
    <t>GROSS INCOME</t>
  </si>
  <si>
    <t>Average</t>
  </si>
  <si>
    <t>Assumptions Check</t>
  </si>
  <si>
    <t>YOY Growth (%)</t>
  </si>
  <si>
    <t xml:space="preserve">Gross Residual Value Calc. </t>
  </si>
  <si>
    <t>Laundry</t>
  </si>
  <si>
    <t>Parking</t>
  </si>
  <si>
    <t>Administrative</t>
  </si>
  <si>
    <t>Electricity</t>
  </si>
  <si>
    <t>Water</t>
  </si>
  <si>
    <t>Trash Removal</t>
  </si>
  <si>
    <t>Pest Control</t>
  </si>
  <si>
    <t>Security</t>
  </si>
  <si>
    <t>2 BR/BA DEN</t>
  </si>
  <si>
    <t>Pro Forma &amp; Assumptions</t>
  </si>
  <si>
    <t>Links to 'Projection' Tab</t>
  </si>
  <si>
    <t>Validate Assumptions in Columns AI and AJ</t>
  </si>
  <si>
    <t>Capital Replacement / Capital Reserves</t>
  </si>
  <si>
    <t>% of Gross Income</t>
  </si>
  <si>
    <t>% of Total Income</t>
  </si>
  <si>
    <r>
      <t>Capital Expenditures [</t>
    </r>
    <r>
      <rPr>
        <sz val="10"/>
        <color rgb="FFFF0000"/>
        <rFont val="Calibri"/>
        <family val="2"/>
        <scheme val="minor"/>
      </rPr>
      <t>Capital Reserves</t>
    </r>
    <r>
      <rPr>
        <sz val="10"/>
        <rFont val="Calibri"/>
        <family val="2"/>
        <scheme val="minor"/>
      </rPr>
      <t>]</t>
    </r>
  </si>
  <si>
    <t xml:space="preserve">Debt Service Coverage Ratio </t>
  </si>
  <si>
    <t>3 BR/BA 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</si>
</sst>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7">
    <numFmt numFmtId="5" formatCode="&quot;$&quot;#,##0_);\(&quot;$&quot;#,##0\)"/>
    <numFmt numFmtId="6" formatCode="&quot;$&quot;#,##0_);[Red]\(&quot;$&quot;#,##0\)"/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\-yy;@"/>
    <numFmt numFmtId="165" formatCode="_(* #,##0.00_);_(* \(#,##0.00\);_(* &quot;-&quot;_);_(@_)"/>
    <numFmt numFmtId="166" formatCode="&quot;$&quot;#,##0"/>
    <numFmt numFmtId="167" formatCode="##\ &quot;Years&quot;"/>
    <numFmt numFmtId="168" formatCode="&quot;Year&quot;\ ##"/>
    <numFmt numFmtId="169" formatCode="#0\ &quot;Years&quot;"/>
    <numFmt numFmtId="170" formatCode="&quot;$&quot;#,##0.000"/>
    <numFmt numFmtId="171" formatCode="0.0%"/>
    <numFmt numFmtId="172" formatCode="#,##0\ ;\(#,##0\)"/>
    <numFmt numFmtId="173" formatCode="mm/dd/yy;@"/>
    <numFmt numFmtId="174" formatCode="&quot;$&quot;#,##0;[Red]&quot;$&quot;#,##0"/>
    <numFmt numFmtId="175" formatCode="#,##0;[Red]#,##0"/>
    <numFmt numFmtId="176" formatCode="&quot;$&quot;#,##0.000;[Red]&quot;$&quot;#,##0.000"/>
    <numFmt numFmtId="177" formatCode="##.##\ &quot;Years&quot;"/>
    <numFmt numFmtId="178" formatCode="##.##\ &quot;Months&quot;"/>
    <numFmt numFmtId="179" formatCode="_(&quot;$&quot;* #,##0_);_(&quot;$&quot;* \(#,##0\);_(&quot;$&quot;* &quot;-&quot;??_);_(@_)"/>
    <numFmt numFmtId="180" formatCode="&quot;FYE&quot;\ 0"/>
    <numFmt numFmtId="181" formatCode="mmmm"/>
    <numFmt numFmtId="182" formatCode="&quot;Scenario &quot;0"/>
    <numFmt numFmtId="183" formatCode="#,##0.000"/>
  </numFmts>
  <fonts count="59"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10"/>
      <name val="Futura"/>
      <family val="1"/>
    </font>
    <font>
      <sz val="12"/>
      <name val="Times New Roman"/>
      <family val="1"/>
    </font>
    <font>
      <sz val="10"/>
      <name val="Times New Roman"/>
      <family val="1"/>
    </font>
    <font>
      <sz val="10"/>
      <name val="Futura"/>
    </font>
    <font>
      <sz val="10"/>
      <name val="Arial Narrow"/>
      <family val="2"/>
    </font>
    <font>
      <sz val="10"/>
      <name val="MS Sans Serif"/>
      <family val="2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4"/>
      <color theme="0"/>
      <name val="Calibri"/>
      <family val="2"/>
      <scheme val="minor"/>
    </font>
    <font>
      <i/>
      <sz val="16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indexed="9"/>
      <name val="Calibri"/>
      <family val="2"/>
      <scheme val="minor"/>
    </font>
    <font>
      <sz val="10"/>
      <color rgb="FF0000FF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9"/>
      <name val="Calibri"/>
      <family val="2"/>
      <scheme val="minor"/>
    </font>
    <font>
      <b/>
      <sz val="10"/>
      <color indexed="9"/>
      <name val="Calibri"/>
      <family val="2"/>
      <scheme val="minor"/>
    </font>
    <font>
      <b/>
      <sz val="8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0"/>
      <name val="Calibri"/>
      <family val="2"/>
      <scheme val="minor"/>
    </font>
    <font>
      <i/>
      <sz val="8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name val="Calibri"/>
      <family val="2"/>
      <scheme val="minor"/>
    </font>
    <font>
      <sz val="9"/>
      <color rgb="FF0000FF"/>
      <name val="Calibri"/>
      <family val="2"/>
      <scheme val="minor"/>
    </font>
    <font>
      <b/>
      <sz val="14"/>
      <color indexed="9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0"/>
      <color theme="0"/>
      <name val="Calibri"/>
      <family val="2"/>
      <scheme val="minor"/>
    </font>
    <font>
      <i/>
      <sz val="7"/>
      <color indexed="12"/>
      <name val="Calibri"/>
      <family val="2"/>
      <scheme val="minor"/>
    </font>
    <font>
      <sz val="7"/>
      <name val="Calibri"/>
      <family val="2"/>
      <scheme val="minor"/>
    </font>
    <font>
      <sz val="8"/>
      <color rgb="FF0000FF"/>
      <name val="Calibri"/>
      <family val="2"/>
      <scheme val="minor"/>
    </font>
    <font>
      <sz val="7.5"/>
      <color indexed="8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indexed="12"/>
      <name val="Calibri"/>
      <family val="2"/>
      <scheme val="minor"/>
    </font>
    <font>
      <sz val="6.75"/>
      <color rgb="FF0000FF"/>
      <name val="Calibri"/>
      <family val="2"/>
      <scheme val="minor"/>
    </font>
    <font>
      <sz val="8"/>
      <color theme="1"/>
      <name val="Calibri"/>
      <family val="2"/>
      <scheme val="minor"/>
    </font>
    <font>
      <sz val="6.75"/>
      <color indexed="8"/>
      <name val="Calibri"/>
      <family val="2"/>
      <scheme val="minor"/>
    </font>
    <font>
      <sz val="6.75"/>
      <color indexed="12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color rgb="FF0000FF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DCD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6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" fillId="0" borderId="0"/>
    <xf numFmtId="0" fontId="4" fillId="0" borderId="0" applyFill="0"/>
    <xf numFmtId="0" fontId="5" fillId="0" borderId="0"/>
    <xf numFmtId="44" fontId="3" fillId="0" borderId="0" applyFont="0" applyFill="0" applyBorder="0" applyAlignment="0" applyProtection="0"/>
    <xf numFmtId="0" fontId="6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8" fillId="0" borderId="0"/>
    <xf numFmtId="0" fontId="5" fillId="0" borderId="0"/>
    <xf numFmtId="42" fontId="3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464">
    <xf numFmtId="0" fontId="0" fillId="0" borderId="0" xfId="0"/>
    <xf numFmtId="0" fontId="10" fillId="3" borderId="0" xfId="0" applyFont="1" applyFill="1"/>
    <xf numFmtId="0" fontId="0" fillId="0" borderId="0" xfId="0" applyFill="1"/>
    <xf numFmtId="0" fontId="10" fillId="0" borderId="0" xfId="0" applyFont="1" applyFill="1"/>
    <xf numFmtId="14" fontId="10" fillId="3" borderId="0" xfId="0" applyNumberFormat="1" applyFont="1" applyFill="1"/>
    <xf numFmtId="41" fontId="10" fillId="3" borderId="0" xfId="0" applyNumberFormat="1" applyFont="1" applyFill="1"/>
    <xf numFmtId="41" fontId="16" fillId="0" borderId="0" xfId="0" applyNumberFormat="1" applyFont="1" applyFill="1"/>
    <xf numFmtId="0" fontId="17" fillId="0" borderId="0" xfId="5" applyFont="1" applyFill="1" applyBorder="1" applyProtection="1"/>
    <xf numFmtId="0" fontId="18" fillId="0" borderId="0" xfId="5" applyFont="1" applyFill="1" applyBorder="1" applyProtection="1"/>
    <xf numFmtId="0" fontId="19" fillId="2" borderId="0" xfId="5" applyFont="1" applyFill="1" applyBorder="1" applyAlignment="1" applyProtection="1">
      <alignment horizontal="left"/>
    </xf>
    <xf numFmtId="0" fontId="20" fillId="2" borderId="0" xfId="5" applyFont="1" applyFill="1" applyBorder="1" applyAlignment="1" applyProtection="1">
      <alignment horizontal="right"/>
    </xf>
    <xf numFmtId="0" fontId="17" fillId="2" borderId="0" xfId="5" applyFont="1" applyFill="1" applyBorder="1" applyProtection="1"/>
    <xf numFmtId="0" fontId="18" fillId="0" borderId="0" xfId="5" applyFont="1" applyBorder="1" applyProtection="1"/>
    <xf numFmtId="0" fontId="21" fillId="0" borderId="0" xfId="5" applyFont="1" applyFill="1" applyBorder="1" applyProtection="1"/>
    <xf numFmtId="0" fontId="22" fillId="2" borderId="0" xfId="5" applyFont="1" applyFill="1" applyBorder="1" applyProtection="1"/>
    <xf numFmtId="0" fontId="22" fillId="2" borderId="0" xfId="5" applyFont="1" applyFill="1" applyBorder="1" applyAlignment="1" applyProtection="1">
      <alignment horizontal="center"/>
    </xf>
    <xf numFmtId="0" fontId="21" fillId="0" borderId="0" xfId="5" applyFont="1" applyBorder="1" applyProtection="1"/>
    <xf numFmtId="0" fontId="24" fillId="0" borderId="3" xfId="5" applyFont="1" applyFill="1" applyBorder="1" applyProtection="1"/>
    <xf numFmtId="166" fontId="18" fillId="0" borderId="0" xfId="5" applyNumberFormat="1" applyFont="1" applyFill="1" applyBorder="1" applyProtection="1"/>
    <xf numFmtId="170" fontId="18" fillId="0" borderId="0" xfId="5" applyNumberFormat="1" applyFont="1" applyFill="1" applyBorder="1" applyProtection="1"/>
    <xf numFmtId="44" fontId="25" fillId="2" borderId="0" xfId="6" applyFont="1" applyFill="1" applyBorder="1" applyAlignment="1">
      <alignment horizontal="center"/>
    </xf>
    <xf numFmtId="44" fontId="25" fillId="0" borderId="0" xfId="6" applyFont="1" applyFill="1" applyBorder="1" applyAlignment="1">
      <alignment horizontal="center"/>
    </xf>
    <xf numFmtId="0" fontId="24" fillId="0" borderId="0" xfId="5" applyFont="1" applyFill="1" applyBorder="1" applyProtection="1"/>
    <xf numFmtId="166" fontId="24" fillId="0" borderId="0" xfId="5" applyNumberFormat="1" applyFont="1" applyFill="1" applyBorder="1" applyProtection="1"/>
    <xf numFmtId="9" fontId="23" fillId="3" borderId="0" xfId="1" applyFont="1" applyFill="1" applyBorder="1" applyAlignment="1" applyProtection="1">
      <alignment horizontal="right"/>
    </xf>
    <xf numFmtId="10" fontId="23" fillId="3" borderId="0" xfId="1" applyNumberFormat="1" applyFont="1" applyFill="1" applyBorder="1" applyProtection="1"/>
    <xf numFmtId="164" fontId="18" fillId="0" borderId="0" xfId="5" applyNumberFormat="1" applyFont="1" applyFill="1" applyBorder="1" applyProtection="1"/>
    <xf numFmtId="167" fontId="23" fillId="3" borderId="0" xfId="1" applyNumberFormat="1" applyFont="1" applyFill="1" applyBorder="1" applyProtection="1"/>
    <xf numFmtId="167" fontId="23" fillId="3" borderId="0" xfId="5" applyNumberFormat="1" applyFont="1" applyFill="1" applyBorder="1" applyAlignment="1" applyProtection="1">
      <alignment horizontal="right"/>
    </xf>
    <xf numFmtId="169" fontId="23" fillId="3" borderId="0" xfId="1" applyNumberFormat="1" applyFont="1" applyFill="1" applyBorder="1" applyProtection="1"/>
    <xf numFmtId="1" fontId="18" fillId="0" borderId="0" xfId="1" applyNumberFormat="1" applyFont="1" applyFill="1" applyBorder="1" applyAlignment="1" applyProtection="1">
      <alignment horizontal="right"/>
    </xf>
    <xf numFmtId="6" fontId="18" fillId="0" borderId="0" xfId="5" applyNumberFormat="1" applyFont="1" applyFill="1" applyBorder="1" applyAlignment="1" applyProtection="1">
      <alignment horizontal="right"/>
    </xf>
    <xf numFmtId="0" fontId="18" fillId="0" borderId="0" xfId="5" applyFont="1" applyFill="1" applyBorder="1" applyAlignment="1" applyProtection="1">
      <alignment horizontal="center"/>
    </xf>
    <xf numFmtId="10" fontId="18" fillId="0" borderId="0" xfId="1" applyNumberFormat="1" applyFont="1" applyFill="1" applyBorder="1" applyProtection="1"/>
    <xf numFmtId="0" fontId="21" fillId="8" borderId="0" xfId="5" applyFont="1" applyFill="1" applyBorder="1" applyProtection="1"/>
    <xf numFmtId="0" fontId="18" fillId="8" borderId="0" xfId="5" applyFont="1" applyFill="1" applyBorder="1" applyProtection="1"/>
    <xf numFmtId="168" fontId="24" fillId="8" borderId="0" xfId="8" applyNumberFormat="1" applyFont="1" applyFill="1" applyBorder="1" applyAlignment="1">
      <alignment horizontal="center"/>
    </xf>
    <xf numFmtId="166" fontId="18" fillId="0" borderId="0" xfId="8" applyNumberFormat="1" applyFont="1" applyFill="1" applyBorder="1" applyAlignment="1">
      <alignment horizontal="right"/>
    </xf>
    <xf numFmtId="0" fontId="25" fillId="2" borderId="0" xfId="5" applyFont="1" applyFill="1" applyBorder="1" applyProtection="1"/>
    <xf numFmtId="168" fontId="26" fillId="2" borderId="16" xfId="8" applyNumberFormat="1" applyFont="1" applyFill="1" applyBorder="1" applyAlignment="1">
      <alignment horizontal="center"/>
    </xf>
    <xf numFmtId="168" fontId="26" fillId="2" borderId="0" xfId="8" applyNumberFormat="1" applyFont="1" applyFill="1" applyBorder="1" applyAlignment="1">
      <alignment horizontal="center"/>
    </xf>
    <xf numFmtId="0" fontId="26" fillId="2" borderId="0" xfId="5" applyFont="1" applyFill="1" applyBorder="1" applyProtection="1"/>
    <xf numFmtId="0" fontId="26" fillId="2" borderId="16" xfId="8" quotePrefix="1" applyNumberFormat="1" applyFont="1" applyFill="1" applyBorder="1" applyAlignment="1">
      <alignment horizontal="center"/>
    </xf>
    <xf numFmtId="0" fontId="26" fillId="2" borderId="0" xfId="8" quotePrefix="1" applyNumberFormat="1" applyFont="1" applyFill="1" applyBorder="1" applyAlignment="1">
      <alignment horizontal="center"/>
    </xf>
    <xf numFmtId="0" fontId="27" fillId="0" borderId="0" xfId="5" applyFont="1" applyFill="1" applyBorder="1" applyProtection="1"/>
    <xf numFmtId="0" fontId="24" fillId="0" borderId="0" xfId="8" applyFont="1" applyFill="1" applyBorder="1" applyAlignment="1">
      <alignment vertical="center"/>
    </xf>
    <xf numFmtId="38" fontId="18" fillId="0" borderId="16" xfId="8" applyNumberFormat="1" applyFont="1" applyFill="1" applyBorder="1" applyAlignment="1">
      <alignment horizontal="right" vertical="center"/>
    </xf>
    <xf numFmtId="38" fontId="18" fillId="0" borderId="0" xfId="8" applyNumberFormat="1" applyFont="1" applyFill="1" applyBorder="1" applyAlignment="1">
      <alignment horizontal="right" vertical="center"/>
    </xf>
    <xf numFmtId="38" fontId="18" fillId="0" borderId="16" xfId="8" applyNumberFormat="1" applyFont="1" applyFill="1" applyBorder="1" applyAlignment="1">
      <alignment horizontal="right"/>
    </xf>
    <xf numFmtId="38" fontId="18" fillId="0" borderId="0" xfId="8" applyNumberFormat="1" applyFont="1" applyFill="1" applyBorder="1" applyAlignment="1">
      <alignment horizontal="right"/>
    </xf>
    <xf numFmtId="166" fontId="18" fillId="0" borderId="16" xfId="8" applyNumberFormat="1" applyFont="1" applyFill="1" applyBorder="1" applyAlignment="1">
      <alignment horizontal="right"/>
    </xf>
    <xf numFmtId="0" fontId="18" fillId="0" borderId="0" xfId="5" applyFont="1" applyFill="1" applyBorder="1" applyAlignment="1" applyProtection="1">
      <alignment horizontal="left" indent="2"/>
    </xf>
    <xf numFmtId="0" fontId="24" fillId="0" borderId="0" xfId="5" applyFont="1" applyFill="1" applyBorder="1" applyAlignment="1" applyProtection="1">
      <alignment horizontal="left" indent="1"/>
    </xf>
    <xf numFmtId="0" fontId="18" fillId="0" borderId="0" xfId="8" applyFont="1" applyFill="1" applyBorder="1"/>
    <xf numFmtId="166" fontId="24" fillId="0" borderId="0" xfId="8" applyNumberFormat="1" applyFont="1" applyFill="1" applyBorder="1" applyAlignment="1">
      <alignment horizontal="right"/>
    </xf>
    <xf numFmtId="0" fontId="28" fillId="0" borderId="0" xfId="5" applyFont="1" applyFill="1" applyBorder="1" applyAlignment="1" applyProtection="1">
      <alignment horizontal="left" indent="1"/>
    </xf>
    <xf numFmtId="0" fontId="29" fillId="0" borderId="0" xfId="8" applyFont="1" applyFill="1" applyBorder="1"/>
    <xf numFmtId="171" fontId="28" fillId="0" borderId="16" xfId="1" applyNumberFormat="1" applyFont="1" applyFill="1" applyBorder="1" applyAlignment="1">
      <alignment horizontal="right"/>
    </xf>
    <xf numFmtId="171" fontId="28" fillId="0" borderId="0" xfId="1" applyNumberFormat="1" applyFont="1" applyFill="1" applyBorder="1" applyAlignment="1">
      <alignment horizontal="right"/>
    </xf>
    <xf numFmtId="0" fontId="30" fillId="0" borderId="0" xfId="5" applyFont="1" applyBorder="1" applyProtection="1"/>
    <xf numFmtId="0" fontId="28" fillId="0" borderId="0" xfId="5" applyFont="1" applyFill="1" applyBorder="1" applyProtection="1"/>
    <xf numFmtId="172" fontId="24" fillId="0" borderId="0" xfId="8" applyNumberFormat="1" applyFont="1" applyFill="1" applyBorder="1" applyAlignment="1">
      <alignment vertical="center"/>
    </xf>
    <xf numFmtId="37" fontId="18" fillId="0" borderId="0" xfId="8" applyNumberFormat="1" applyFont="1" applyFill="1" applyBorder="1" applyAlignment="1">
      <alignment vertical="center"/>
    </xf>
    <xf numFmtId="0" fontId="18" fillId="0" borderId="0" xfId="5" applyFont="1" applyFill="1" applyBorder="1" applyAlignment="1" applyProtection="1">
      <alignment horizontal="left" indent="1"/>
    </xf>
    <xf numFmtId="40" fontId="18" fillId="0" borderId="0" xfId="8" applyNumberFormat="1" applyFont="1" applyFill="1" applyBorder="1" applyAlignment="1">
      <alignment horizontal="right"/>
    </xf>
    <xf numFmtId="164" fontId="24" fillId="0" borderId="0" xfId="8" applyNumberFormat="1" applyFont="1" applyFill="1" applyBorder="1" applyAlignment="1">
      <alignment horizontal="right"/>
    </xf>
    <xf numFmtId="171" fontId="23" fillId="3" borderId="16" xfId="1" applyNumberFormat="1" applyFont="1" applyFill="1" applyBorder="1" applyAlignment="1">
      <alignment horizontal="right"/>
    </xf>
    <xf numFmtId="171" fontId="23" fillId="3" borderId="0" xfId="1" applyNumberFormat="1" applyFont="1" applyFill="1" applyBorder="1" applyAlignment="1">
      <alignment horizontal="right"/>
    </xf>
    <xf numFmtId="0" fontId="18" fillId="0" borderId="0" xfId="5" applyNumberFormat="1" applyFont="1" applyFill="1" applyBorder="1" applyAlignment="1" applyProtection="1"/>
    <xf numFmtId="171" fontId="18" fillId="0" borderId="16" xfId="1" applyNumberFormat="1" applyFont="1" applyFill="1" applyBorder="1" applyAlignment="1">
      <alignment horizontal="right"/>
    </xf>
    <xf numFmtId="171" fontId="18" fillId="0" borderId="0" xfId="1" applyNumberFormat="1" applyFont="1" applyFill="1" applyBorder="1" applyAlignment="1">
      <alignment horizontal="right"/>
    </xf>
    <xf numFmtId="0" fontId="18" fillId="0" borderId="9" xfId="5" applyNumberFormat="1" applyFont="1" applyFill="1" applyBorder="1" applyAlignment="1" applyProtection="1"/>
    <xf numFmtId="168" fontId="18" fillId="0" borderId="5" xfId="1" applyNumberFormat="1" applyFont="1" applyFill="1" applyBorder="1" applyAlignment="1">
      <alignment horizontal="right"/>
    </xf>
    <xf numFmtId="168" fontId="18" fillId="0" borderId="9" xfId="1" applyNumberFormat="1" applyFont="1" applyFill="1" applyBorder="1" applyAlignment="1">
      <alignment horizontal="right"/>
    </xf>
    <xf numFmtId="10" fontId="18" fillId="0" borderId="0" xfId="5" applyNumberFormat="1" applyFont="1" applyFill="1" applyBorder="1" applyAlignment="1" applyProtection="1"/>
    <xf numFmtId="10" fontId="18" fillId="0" borderId="16" xfId="1" applyNumberFormat="1" applyFont="1" applyFill="1" applyBorder="1" applyAlignment="1" applyProtection="1"/>
    <xf numFmtId="10" fontId="18" fillId="0" borderId="0" xfId="1" applyNumberFormat="1" applyFont="1" applyFill="1" applyBorder="1" applyAlignment="1" applyProtection="1"/>
    <xf numFmtId="10" fontId="18" fillId="0" borderId="16" xfId="1" applyNumberFormat="1" applyFont="1" applyFill="1" applyBorder="1" applyAlignment="1">
      <alignment horizontal="right"/>
    </xf>
    <xf numFmtId="0" fontId="31" fillId="0" borderId="0" xfId="5" applyNumberFormat="1" applyFont="1" applyFill="1" applyBorder="1" applyAlignment="1" applyProtection="1"/>
    <xf numFmtId="168" fontId="31" fillId="0" borderId="0" xfId="5" applyNumberFormat="1" applyFont="1" applyFill="1" applyBorder="1" applyAlignment="1" applyProtection="1"/>
    <xf numFmtId="0" fontId="17" fillId="0" borderId="0" xfId="5" applyFont="1" applyBorder="1" applyProtection="1"/>
    <xf numFmtId="0" fontId="32" fillId="0" borderId="0" xfId="5" applyNumberFormat="1" applyFont="1" applyFill="1" applyBorder="1" applyAlignment="1" applyProtection="1"/>
    <xf numFmtId="0" fontId="33" fillId="0" borderId="0" xfId="5" applyNumberFormat="1" applyFont="1" applyFill="1" applyBorder="1" applyAlignment="1" applyProtection="1"/>
    <xf numFmtId="0" fontId="33" fillId="0" borderId="0" xfId="5" applyFont="1" applyFill="1" applyBorder="1" applyProtection="1"/>
    <xf numFmtId="0" fontId="32" fillId="0" borderId="0" xfId="5" applyFont="1" applyFill="1" applyBorder="1" applyProtection="1"/>
    <xf numFmtId="41" fontId="16" fillId="0" borderId="0" xfId="3" applyNumberFormat="1" applyFont="1"/>
    <xf numFmtId="41" fontId="16" fillId="0" borderId="0" xfId="3" applyNumberFormat="1" applyFont="1" applyBorder="1"/>
    <xf numFmtId="0" fontId="34" fillId="2" borderId="0" xfId="2" applyFont="1" applyFill="1" applyAlignment="1">
      <alignment horizontal="left"/>
    </xf>
    <xf numFmtId="0" fontId="34" fillId="2" borderId="0" xfId="2" applyFont="1" applyFill="1" applyAlignment="1">
      <alignment horizontal="centerContinuous"/>
    </xf>
    <xf numFmtId="0" fontId="34" fillId="2" borderId="0" xfId="2" applyFont="1" applyFill="1" applyBorder="1" applyAlignment="1">
      <alignment horizontal="centerContinuous"/>
    </xf>
    <xf numFmtId="41" fontId="16" fillId="0" borderId="0" xfId="3" applyNumberFormat="1" applyFont="1" applyFill="1" applyBorder="1"/>
    <xf numFmtId="41" fontId="16" fillId="0" borderId="0" xfId="3" applyNumberFormat="1" applyFont="1" applyFill="1"/>
    <xf numFmtId="41" fontId="36" fillId="0" borderId="0" xfId="3" applyNumberFormat="1" applyFont="1"/>
    <xf numFmtId="14" fontId="16" fillId="0" borderId="0" xfId="3" applyNumberFormat="1" applyFont="1" applyBorder="1"/>
    <xf numFmtId="9" fontId="10" fillId="3" borderId="0" xfId="3" applyNumberFormat="1" applyFont="1" applyFill="1" applyBorder="1"/>
    <xf numFmtId="9" fontId="10" fillId="0" borderId="0" xfId="3" applyNumberFormat="1" applyFont="1" applyFill="1" applyBorder="1"/>
    <xf numFmtId="41" fontId="36" fillId="0" borderId="12" xfId="3" applyNumberFormat="1" applyFont="1" applyBorder="1"/>
    <xf numFmtId="41" fontId="36" fillId="0" borderId="0" xfId="3" applyNumberFormat="1" applyFont="1" applyBorder="1"/>
    <xf numFmtId="41" fontId="36" fillId="0" borderId="12" xfId="3" applyNumberFormat="1" applyFont="1" applyFill="1" applyBorder="1"/>
    <xf numFmtId="41" fontId="38" fillId="0" borderId="0" xfId="3" applyNumberFormat="1" applyFont="1" applyFill="1" applyBorder="1"/>
    <xf numFmtId="41" fontId="10" fillId="3" borderId="0" xfId="3" applyNumberFormat="1" applyFont="1" applyFill="1" applyBorder="1"/>
    <xf numFmtId="41" fontId="36" fillId="0" borderId="0" xfId="3" applyNumberFormat="1" applyFont="1" applyFill="1" applyBorder="1"/>
    <xf numFmtId="41" fontId="39" fillId="0" borderId="0" xfId="3" applyNumberFormat="1" applyFont="1" applyFill="1" applyBorder="1"/>
    <xf numFmtId="41" fontId="10" fillId="0" borderId="0" xfId="3" applyNumberFormat="1" applyFont="1" applyFill="1" applyBorder="1"/>
    <xf numFmtId="43" fontId="16" fillId="0" borderId="0" xfId="3" applyNumberFormat="1" applyFont="1" applyFill="1" applyBorder="1"/>
    <xf numFmtId="41" fontId="36" fillId="0" borderId="15" xfId="4" applyNumberFormat="1" applyFont="1" applyFill="1" applyBorder="1" applyAlignment="1" applyProtection="1">
      <alignment horizontal="left"/>
      <protection locked="0"/>
    </xf>
    <xf numFmtId="41" fontId="36" fillId="0" borderId="0" xfId="4" applyNumberFormat="1" applyFont="1" applyFill="1" applyBorder="1" applyAlignment="1" applyProtection="1">
      <alignment horizontal="left"/>
      <protection locked="0"/>
    </xf>
    <xf numFmtId="41" fontId="16" fillId="0" borderId="0" xfId="4" applyNumberFormat="1" applyFont="1" applyFill="1" applyBorder="1" applyAlignment="1" applyProtection="1">
      <alignment horizontal="left" indent="1"/>
      <protection locked="0"/>
    </xf>
    <xf numFmtId="41" fontId="10" fillId="0" borderId="0" xfId="4" applyNumberFormat="1" applyFont="1" applyFill="1" applyBorder="1" applyAlignment="1" applyProtection="1">
      <alignment horizontal="left"/>
      <protection locked="0"/>
    </xf>
    <xf numFmtId="41" fontId="16" fillId="0" borderId="0" xfId="4" applyNumberFormat="1" applyFont="1" applyFill="1" applyBorder="1" applyAlignment="1" applyProtection="1">
      <alignment horizontal="left"/>
      <protection locked="0"/>
    </xf>
    <xf numFmtId="41" fontId="16" fillId="0" borderId="15" xfId="3" applyNumberFormat="1" applyFont="1" applyBorder="1"/>
    <xf numFmtId="41" fontId="36" fillId="0" borderId="15" xfId="3" applyNumberFormat="1" applyFont="1" applyBorder="1"/>
    <xf numFmtId="41" fontId="40" fillId="0" borderId="0" xfId="3" applyNumberFormat="1" applyFont="1" applyAlignment="1">
      <alignment horizontal="centerContinuous"/>
    </xf>
    <xf numFmtId="41" fontId="35" fillId="0" borderId="0" xfId="3" applyNumberFormat="1" applyFont="1" applyAlignment="1">
      <alignment horizontal="centerContinuous"/>
    </xf>
    <xf numFmtId="41" fontId="35" fillId="0" borderId="0" xfId="3" applyNumberFormat="1" applyFont="1" applyFill="1" applyAlignment="1">
      <alignment horizontal="centerContinuous"/>
    </xf>
    <xf numFmtId="41" fontId="35" fillId="0" borderId="0" xfId="3" applyNumberFormat="1" applyFont="1" applyFill="1" applyBorder="1" applyAlignment="1">
      <alignment horizontal="centerContinuous"/>
    </xf>
    <xf numFmtId="0" fontId="13" fillId="2" borderId="1" xfId="4" applyFont="1" applyFill="1" applyBorder="1" applyAlignment="1" applyProtection="1">
      <alignment horizontal="center"/>
      <protection locked="0"/>
    </xf>
    <xf numFmtId="0" fontId="41" fillId="0" borderId="0" xfId="4" applyFont="1" applyFill="1" applyBorder="1" applyAlignment="1" applyProtection="1">
      <alignment horizontal="center"/>
      <protection locked="0"/>
    </xf>
    <xf numFmtId="164" fontId="41" fillId="0" borderId="0" xfId="4" applyNumberFormat="1" applyFont="1" applyFill="1" applyBorder="1" applyAlignment="1" applyProtection="1">
      <alignment horizontal="center"/>
      <protection locked="0"/>
    </xf>
    <xf numFmtId="5" fontId="41" fillId="2" borderId="4" xfId="4" applyNumberFormat="1" applyFont="1" applyFill="1" applyBorder="1" applyAlignment="1" applyProtection="1">
      <alignment horizontal="center"/>
      <protection locked="0"/>
    </xf>
    <xf numFmtId="0" fontId="13" fillId="2" borderId="5" xfId="4" applyFont="1" applyFill="1" applyBorder="1" applyAlignment="1" applyProtection="1">
      <alignment horizontal="center"/>
      <protection locked="0"/>
    </xf>
    <xf numFmtId="37" fontId="41" fillId="2" borderId="0" xfId="4" applyNumberFormat="1" applyFont="1" applyFill="1" applyBorder="1" applyAlignment="1" applyProtection="1">
      <alignment horizontal="center"/>
      <protection locked="0"/>
    </xf>
    <xf numFmtId="37" fontId="41" fillId="0" borderId="0" xfId="4" applyNumberFormat="1" applyFont="1" applyFill="1" applyBorder="1" applyAlignment="1" applyProtection="1">
      <alignment horizontal="center"/>
      <protection locked="0"/>
    </xf>
    <xf numFmtId="5" fontId="41" fillId="2" borderId="10" xfId="4" applyNumberFormat="1" applyFont="1" applyFill="1" applyBorder="1" applyAlignment="1" applyProtection="1">
      <alignment horizontal="center"/>
      <protection locked="0"/>
    </xf>
    <xf numFmtId="165" fontId="16" fillId="0" borderId="0" xfId="3" applyNumberFormat="1" applyFont="1" applyFill="1" applyBorder="1"/>
    <xf numFmtId="41" fontId="10" fillId="3" borderId="0" xfId="3" applyNumberFormat="1" applyFont="1" applyFill="1"/>
    <xf numFmtId="14" fontId="16" fillId="0" borderId="0" xfId="3" applyNumberFormat="1" applyFont="1"/>
    <xf numFmtId="41" fontId="36" fillId="0" borderId="0" xfId="3" applyNumberFormat="1" applyFont="1" applyFill="1"/>
    <xf numFmtId="41" fontId="30" fillId="0" borderId="0" xfId="3" applyNumberFormat="1" applyFont="1" applyFill="1" applyBorder="1"/>
    <xf numFmtId="0" fontId="0" fillId="0" borderId="0" xfId="0" applyFont="1"/>
    <xf numFmtId="0" fontId="0" fillId="0" borderId="0" xfId="0" applyFont="1" applyBorder="1"/>
    <xf numFmtId="0" fontId="0" fillId="0" borderId="0" xfId="0" applyFont="1" applyFill="1" applyBorder="1"/>
    <xf numFmtId="0" fontId="0" fillId="0" borderId="0" xfId="0" applyFont="1" applyFill="1"/>
    <xf numFmtId="0" fontId="24" fillId="0" borderId="0" xfId="5" applyFont="1" applyFill="1" applyBorder="1" applyAlignment="1" applyProtection="1">
      <alignment horizontal="center" wrapText="1"/>
    </xf>
    <xf numFmtId="0" fontId="24" fillId="0" borderId="0" xfId="5" applyFont="1" applyFill="1" applyBorder="1" applyAlignment="1" applyProtection="1">
      <alignment horizontal="centerContinuous" wrapText="1"/>
    </xf>
    <xf numFmtId="0" fontId="24" fillId="0" borderId="0" xfId="5" applyFont="1" applyFill="1" applyBorder="1" applyAlignment="1" applyProtection="1">
      <alignment horizontal="left" wrapText="1"/>
    </xf>
    <xf numFmtId="38" fontId="24" fillId="0" borderId="0" xfId="5" applyNumberFormat="1" applyFont="1" applyFill="1" applyBorder="1" applyAlignment="1" applyProtection="1">
      <alignment horizontal="centerContinuous" wrapText="1"/>
    </xf>
    <xf numFmtId="38" fontId="24" fillId="0" borderId="0" xfId="5" applyNumberFormat="1" applyFont="1" applyFill="1" applyBorder="1" applyAlignment="1" applyProtection="1">
      <alignment horizontal="left" wrapText="1"/>
    </xf>
    <xf numFmtId="0" fontId="24" fillId="0" borderId="9" xfId="5" applyFont="1" applyFill="1" applyBorder="1" applyAlignment="1" applyProtection="1">
      <alignment horizontal="center" wrapText="1"/>
    </xf>
    <xf numFmtId="0" fontId="24" fillId="0" borderId="12" xfId="5" applyFont="1" applyFill="1" applyBorder="1" applyAlignment="1" applyProtection="1">
      <alignment horizontal="center" wrapText="1"/>
    </xf>
    <xf numFmtId="38" fontId="23" fillId="3" borderId="0" xfId="9" applyNumberFormat="1" applyFont="1" applyFill="1" applyBorder="1" applyAlignment="1" applyProtection="1">
      <alignment horizontal="center"/>
    </xf>
    <xf numFmtId="38" fontId="18" fillId="0" borderId="0" xfId="10" applyNumberFormat="1" applyFont="1" applyFill="1" applyBorder="1" applyAlignment="1">
      <alignment horizontal="center"/>
    </xf>
    <xf numFmtId="171" fontId="18" fillId="0" borderId="0" xfId="10" applyNumberFormat="1" applyFont="1" applyFill="1" applyBorder="1" applyAlignment="1">
      <alignment horizontal="center"/>
    </xf>
    <xf numFmtId="38" fontId="18" fillId="0" borderId="0" xfId="9" applyNumberFormat="1" applyFont="1" applyFill="1" applyBorder="1" applyAlignment="1" applyProtection="1">
      <alignment horizontal="center"/>
    </xf>
    <xf numFmtId="3" fontId="18" fillId="0" borderId="0" xfId="5" applyNumberFormat="1" applyFont="1" applyFill="1" applyBorder="1" applyAlignment="1" applyProtection="1">
      <alignment horizontal="center"/>
    </xf>
    <xf numFmtId="8" fontId="18" fillId="0" borderId="0" xfId="5" applyNumberFormat="1" applyFont="1" applyFill="1" applyBorder="1" applyAlignment="1" applyProtection="1">
      <alignment horizontal="center"/>
    </xf>
    <xf numFmtId="0" fontId="24" fillId="0" borderId="12" xfId="5" applyFont="1" applyFill="1" applyBorder="1" applyAlignment="1" applyProtection="1">
      <alignment horizontal="center"/>
    </xf>
    <xf numFmtId="38" fontId="24" fillId="0" borderId="12" xfId="5" applyNumberFormat="1" applyFont="1" applyFill="1" applyBorder="1" applyAlignment="1" applyProtection="1">
      <alignment horizontal="center"/>
    </xf>
    <xf numFmtId="3" fontId="24" fillId="0" borderId="12" xfId="5" applyNumberFormat="1" applyFont="1" applyFill="1" applyBorder="1" applyAlignment="1" applyProtection="1">
      <alignment horizontal="center"/>
    </xf>
    <xf numFmtId="3" fontId="24" fillId="0" borderId="0" xfId="5" applyNumberFormat="1" applyFont="1" applyFill="1" applyBorder="1" applyAlignment="1" applyProtection="1">
      <alignment horizontal="center"/>
    </xf>
    <xf numFmtId="3" fontId="24" fillId="0" borderId="17" xfId="5" applyNumberFormat="1" applyFont="1" applyFill="1" applyBorder="1" applyAlignment="1" applyProtection="1">
      <alignment horizontal="center"/>
    </xf>
    <xf numFmtId="8" fontId="24" fillId="0" borderId="0" xfId="5" applyNumberFormat="1" applyFont="1" applyFill="1" applyBorder="1" applyAlignment="1" applyProtection="1">
      <alignment horizontal="center"/>
    </xf>
    <xf numFmtId="0" fontId="18" fillId="0" borderId="0" xfId="5" applyFont="1" applyFill="1" applyBorder="1" applyAlignment="1" applyProtection="1">
      <alignment horizontal="right"/>
    </xf>
    <xf numFmtId="49" fontId="32" fillId="0" borderId="0" xfId="5" applyNumberFormat="1" applyFont="1" applyBorder="1" applyProtection="1"/>
    <xf numFmtId="0" fontId="18" fillId="0" borderId="0" xfId="5" applyFont="1" applyBorder="1" applyAlignment="1" applyProtection="1">
      <alignment horizontal="right"/>
    </xf>
    <xf numFmtId="0" fontId="43" fillId="0" borderId="0" xfId="5" applyFont="1" applyFill="1" applyBorder="1" applyProtection="1"/>
    <xf numFmtId="10" fontId="18" fillId="0" borderId="0" xfId="5" applyNumberFormat="1" applyFont="1" applyFill="1" applyBorder="1" applyAlignment="1" applyProtection="1">
      <alignment horizontal="center"/>
    </xf>
    <xf numFmtId="0" fontId="18" fillId="0" borderId="0" xfId="5" applyFont="1" applyFill="1" applyBorder="1" applyAlignment="1" applyProtection="1">
      <alignment horizontal="left"/>
    </xf>
    <xf numFmtId="0" fontId="37" fillId="0" borderId="0" xfId="5" applyFont="1" applyFill="1" applyBorder="1" applyAlignment="1" applyProtection="1">
      <alignment horizontal="right"/>
    </xf>
    <xf numFmtId="0" fontId="44" fillId="0" borderId="0" xfId="5" applyFont="1" applyFill="1" applyBorder="1" applyProtection="1"/>
    <xf numFmtId="0" fontId="21" fillId="0" borderId="0" xfId="5" applyFont="1" applyFill="1" applyBorder="1" applyAlignment="1" applyProtection="1">
      <alignment horizontal="left"/>
    </xf>
    <xf numFmtId="15" fontId="21" fillId="0" borderId="0" xfId="10" applyNumberFormat="1" applyFont="1" applyFill="1" applyBorder="1" applyAlignment="1">
      <alignment horizontal="left"/>
    </xf>
    <xf numFmtId="14" fontId="45" fillId="3" borderId="0" xfId="5" applyNumberFormat="1" applyFont="1" applyFill="1" applyBorder="1" applyAlignment="1" applyProtection="1">
      <alignment horizontal="left"/>
    </xf>
    <xf numFmtId="49" fontId="32" fillId="0" borderId="0" xfId="5" applyNumberFormat="1" applyFont="1" applyFill="1" applyBorder="1" applyProtection="1"/>
    <xf numFmtId="0" fontId="18" fillId="0" borderId="9" xfId="5" applyFont="1" applyFill="1" applyBorder="1" applyProtection="1"/>
    <xf numFmtId="0" fontId="21" fillId="0" borderId="0" xfId="5" applyFont="1" applyBorder="1" applyAlignment="1" applyProtection="1">
      <alignment horizontal="right"/>
    </xf>
    <xf numFmtId="6" fontId="21" fillId="0" borderId="0" xfId="6" applyNumberFormat="1" applyFont="1" applyFill="1" applyBorder="1" applyAlignment="1">
      <alignment horizontal="center"/>
    </xf>
    <xf numFmtId="0" fontId="46" fillId="0" borderId="0" xfId="7" applyFont="1"/>
    <xf numFmtId="0" fontId="21" fillId="0" borderId="3" xfId="10" applyFont="1" applyFill="1" applyBorder="1" applyAlignment="1">
      <alignment horizontal="center"/>
    </xf>
    <xf numFmtId="0" fontId="21" fillId="0" borderId="4" xfId="10" applyFont="1" applyFill="1" applyBorder="1" applyAlignment="1">
      <alignment horizontal="center"/>
    </xf>
    <xf numFmtId="0" fontId="21" fillId="0" borderId="0" xfId="10" applyFont="1" applyFill="1" applyAlignment="1">
      <alignment horizontal="center"/>
    </xf>
    <xf numFmtId="0" fontId="21" fillId="0" borderId="8" xfId="10" applyFont="1" applyFill="1" applyBorder="1" applyAlignment="1">
      <alignment horizontal="center"/>
    </xf>
    <xf numFmtId="0" fontId="47" fillId="0" borderId="0" xfId="6" applyNumberFormat="1" applyFont="1" applyFill="1" applyBorder="1" applyAlignment="1" applyProtection="1">
      <alignment horizontal="center"/>
    </xf>
    <xf numFmtId="0" fontId="21" fillId="0" borderId="9" xfId="10" applyFont="1" applyFill="1" applyBorder="1" applyAlignment="1">
      <alignment horizontal="center"/>
    </xf>
    <xf numFmtId="0" fontId="21" fillId="0" borderId="9" xfId="10" applyFont="1" applyFill="1" applyBorder="1" applyAlignment="1"/>
    <xf numFmtId="1" fontId="21" fillId="0" borderId="9" xfId="10" applyNumberFormat="1" applyFont="1" applyFill="1" applyBorder="1" applyAlignment="1"/>
    <xf numFmtId="1" fontId="21" fillId="0" borderId="9" xfId="10" applyNumberFormat="1" applyFont="1" applyFill="1" applyBorder="1" applyAlignment="1">
      <alignment horizontal="right"/>
    </xf>
    <xf numFmtId="1" fontId="21" fillId="0" borderId="9" xfId="6" applyNumberFormat="1" applyFont="1" applyFill="1" applyBorder="1" applyAlignment="1"/>
    <xf numFmtId="0" fontId="21" fillId="0" borderId="10" xfId="10" applyFont="1" applyFill="1" applyBorder="1" applyAlignment="1">
      <alignment horizontal="center"/>
    </xf>
    <xf numFmtId="3" fontId="48" fillId="0" borderId="0" xfId="7" applyNumberFormat="1" applyFont="1" applyAlignment="1">
      <alignment horizontal="right"/>
    </xf>
    <xf numFmtId="0" fontId="45" fillId="3" borderId="0" xfId="7" applyNumberFormat="1" applyFont="1" applyFill="1" applyAlignment="1">
      <alignment horizontal="left"/>
    </xf>
    <xf numFmtId="49" fontId="45" fillId="3" borderId="0" xfId="7" applyNumberFormat="1" applyFont="1" applyFill="1" applyAlignment="1"/>
    <xf numFmtId="1" fontId="45" fillId="3" borderId="0" xfId="7" applyNumberFormat="1" applyFont="1" applyFill="1"/>
    <xf numFmtId="0" fontId="49" fillId="3" borderId="0" xfId="7" applyFont="1" applyFill="1" applyAlignment="1">
      <alignment horizontal="center" vertical="center"/>
    </xf>
    <xf numFmtId="14" fontId="45" fillId="3" borderId="0" xfId="7" applyNumberFormat="1" applyFont="1" applyFill="1"/>
    <xf numFmtId="14" fontId="21" fillId="0" borderId="0" xfId="7" applyNumberFormat="1" applyFont="1" applyAlignment="1">
      <alignment horizontal="right"/>
    </xf>
    <xf numFmtId="14" fontId="21" fillId="6" borderId="0" xfId="7" applyNumberFormat="1" applyFont="1" applyFill="1" applyAlignment="1">
      <alignment horizontal="right"/>
    </xf>
    <xf numFmtId="4" fontId="45" fillId="3" borderId="0" xfId="7" applyNumberFormat="1" applyFont="1" applyFill="1"/>
    <xf numFmtId="10" fontId="21" fillId="6" borderId="0" xfId="1" applyNumberFormat="1" applyFont="1" applyFill="1" applyBorder="1" applyAlignment="1"/>
    <xf numFmtId="0" fontId="21" fillId="6" borderId="16" xfId="5" applyFont="1" applyFill="1" applyBorder="1" applyAlignment="1" applyProtection="1">
      <alignment horizontal="center"/>
    </xf>
    <xf numFmtId="14" fontId="50" fillId="0" borderId="0" xfId="7" applyNumberFormat="1" applyFont="1" applyAlignment="1">
      <alignment horizontal="right"/>
    </xf>
    <xf numFmtId="3" fontId="48" fillId="0" borderId="0" xfId="7" applyNumberFormat="1" applyFont="1" applyFill="1" applyAlignment="1">
      <alignment horizontal="right"/>
    </xf>
    <xf numFmtId="0" fontId="21" fillId="0" borderId="0" xfId="7" applyFont="1" applyFill="1" applyBorder="1" applyAlignment="1">
      <alignment horizontal="right"/>
    </xf>
    <xf numFmtId="0" fontId="51" fillId="0" borderId="0" xfId="7" applyFont="1" applyFill="1" applyAlignment="1">
      <alignment horizontal="center" vertical="center"/>
    </xf>
    <xf numFmtId="173" fontId="21" fillId="0" borderId="0" xfId="7" applyNumberFormat="1" applyFont="1" applyFill="1"/>
    <xf numFmtId="173" fontId="21" fillId="0" borderId="0" xfId="7" applyNumberFormat="1" applyFont="1" applyFill="1" applyAlignment="1">
      <alignment horizontal="right"/>
    </xf>
    <xf numFmtId="14" fontId="21" fillId="0" borderId="0" xfId="7" applyNumberFormat="1" applyFont="1" applyFill="1" applyAlignment="1">
      <alignment horizontal="right"/>
    </xf>
    <xf numFmtId="166" fontId="52" fillId="0" borderId="0" xfId="7" applyNumberFormat="1" applyFont="1" applyFill="1" applyAlignment="1">
      <alignment horizontal="right" vertical="center"/>
    </xf>
    <xf numFmtId="166" fontId="21" fillId="0" borderId="0" xfId="9" applyNumberFormat="1" applyFont="1" applyFill="1" applyBorder="1" applyAlignment="1">
      <alignment horizontal="center"/>
    </xf>
    <xf numFmtId="10" fontId="21" fillId="0" borderId="0" xfId="1" applyNumberFormat="1" applyFont="1" applyFill="1" applyBorder="1" applyAlignment="1"/>
    <xf numFmtId="0" fontId="21" fillId="0" borderId="16" xfId="5" applyFont="1" applyFill="1" applyBorder="1" applyAlignment="1" applyProtection="1">
      <alignment horizontal="center"/>
    </xf>
    <xf numFmtId="0" fontId="21" fillId="0" borderId="0" xfId="5" applyFont="1" applyFill="1" applyBorder="1" applyAlignment="1" applyProtection="1">
      <alignment horizontal="center"/>
    </xf>
    <xf numFmtId="1" fontId="27" fillId="0" borderId="0" xfId="5" applyNumberFormat="1" applyFont="1" applyFill="1" applyBorder="1" applyAlignment="1" applyProtection="1">
      <alignment horizontal="center"/>
    </xf>
    <xf numFmtId="0" fontId="21" fillId="0" borderId="15" xfId="10" applyFont="1" applyFill="1" applyBorder="1" applyAlignment="1"/>
    <xf numFmtId="0" fontId="27" fillId="0" borderId="15" xfId="7" applyNumberFormat="1" applyFont="1" applyFill="1" applyBorder="1" applyAlignment="1">
      <alignment horizontal="right"/>
    </xf>
    <xf numFmtId="3" fontId="27" fillId="0" borderId="15" xfId="7" applyNumberFormat="1" applyFont="1" applyFill="1" applyBorder="1"/>
    <xf numFmtId="49" fontId="53" fillId="0" borderId="15" xfId="10" applyNumberFormat="1" applyFont="1" applyFill="1" applyBorder="1" applyAlignment="1"/>
    <xf numFmtId="0" fontId="27" fillId="0" borderId="15" xfId="10" applyFont="1" applyFill="1" applyBorder="1" applyAlignment="1">
      <alignment horizontal="right"/>
    </xf>
    <xf numFmtId="166" fontId="27" fillId="0" borderId="15" xfId="5" applyNumberFormat="1" applyFont="1" applyFill="1" applyBorder="1" applyAlignment="1" applyProtection="1">
      <alignment horizontal="right"/>
    </xf>
    <xf numFmtId="166" fontId="27" fillId="0" borderId="15" xfId="5" applyNumberFormat="1" applyFont="1" applyBorder="1" applyAlignment="1" applyProtection="1">
      <alignment horizontal="right"/>
    </xf>
    <xf numFmtId="10" fontId="27" fillId="0" borderId="15" xfId="1" applyNumberFormat="1" applyFont="1" applyFill="1" applyBorder="1" applyAlignment="1">
      <alignment horizontal="right"/>
    </xf>
    <xf numFmtId="0" fontId="21" fillId="0" borderId="15" xfId="5" applyFont="1" applyBorder="1" applyAlignment="1" applyProtection="1">
      <alignment horizontal="center"/>
    </xf>
    <xf numFmtId="0" fontId="21" fillId="0" borderId="0" xfId="5" applyFont="1" applyFill="1" applyBorder="1" applyAlignment="1" applyProtection="1">
      <alignment horizontal="right"/>
    </xf>
    <xf numFmtId="0" fontId="18" fillId="0" borderId="0" xfId="7" applyFont="1"/>
    <xf numFmtId="175" fontId="21" fillId="0" borderId="0" xfId="5" applyNumberFormat="1" applyFont="1" applyBorder="1" applyAlignment="1" applyProtection="1">
      <alignment horizontal="right"/>
    </xf>
    <xf numFmtId="166" fontId="21" fillId="0" borderId="0" xfId="5" applyNumberFormat="1" applyFont="1" applyBorder="1" applyAlignment="1" applyProtection="1">
      <alignment horizontal="right"/>
    </xf>
    <xf numFmtId="3" fontId="21" fillId="0" borderId="0" xfId="5" applyNumberFormat="1" applyFont="1" applyBorder="1" applyAlignment="1" applyProtection="1">
      <alignment horizontal="right"/>
    </xf>
    <xf numFmtId="176" fontId="21" fillId="0" borderId="0" xfId="5" applyNumberFormat="1" applyFont="1" applyBorder="1" applyAlignment="1" applyProtection="1">
      <alignment horizontal="right"/>
    </xf>
    <xf numFmtId="1" fontId="21" fillId="0" borderId="0" xfId="5" applyNumberFormat="1" applyFont="1" applyBorder="1" applyProtection="1"/>
    <xf numFmtId="166" fontId="21" fillId="0" borderId="0" xfId="5" applyNumberFormat="1" applyFont="1" applyBorder="1" applyProtection="1"/>
    <xf numFmtId="174" fontId="21" fillId="0" borderId="0" xfId="5" applyNumberFormat="1" applyFont="1" applyBorder="1" applyAlignment="1" applyProtection="1">
      <alignment horizontal="right"/>
    </xf>
    <xf numFmtId="171" fontId="21" fillId="0" borderId="0" xfId="1" applyNumberFormat="1" applyFont="1" applyBorder="1" applyAlignment="1" applyProtection="1">
      <alignment horizontal="right"/>
    </xf>
    <xf numFmtId="1" fontId="21" fillId="0" borderId="0" xfId="6" applyNumberFormat="1" applyFont="1" applyFill="1" applyBorder="1" applyAlignment="1">
      <alignment horizontal="center"/>
    </xf>
    <xf numFmtId="0" fontId="21" fillId="0" borderId="0" xfId="5" applyFont="1" applyBorder="1" applyAlignment="1" applyProtection="1">
      <alignment horizontal="center"/>
    </xf>
    <xf numFmtId="10" fontId="21" fillId="0" borderId="0" xfId="5" applyNumberFormat="1" applyFont="1" applyBorder="1" applyAlignment="1" applyProtection="1">
      <alignment horizontal="center"/>
    </xf>
    <xf numFmtId="3" fontId="21" fillId="0" borderId="0" xfId="7" applyNumberFormat="1" applyFont="1" applyAlignment="1">
      <alignment horizontal="right"/>
    </xf>
    <xf numFmtId="49" fontId="21" fillId="0" borderId="0" xfId="5" applyNumberFormat="1" applyFont="1" applyBorder="1" applyProtection="1"/>
    <xf numFmtId="174" fontId="27" fillId="0" borderId="0" xfId="5" applyNumberFormat="1" applyFont="1" applyBorder="1" applyAlignment="1" applyProtection="1">
      <alignment horizontal="right"/>
    </xf>
    <xf numFmtId="171" fontId="27" fillId="0" borderId="0" xfId="1" applyNumberFormat="1" applyFont="1" applyBorder="1" applyAlignment="1" applyProtection="1">
      <alignment horizontal="right"/>
    </xf>
    <xf numFmtId="0" fontId="18" fillId="0" borderId="0" xfId="5" applyFont="1" applyBorder="1" applyAlignment="1" applyProtection="1">
      <alignment horizontal="center"/>
    </xf>
    <xf numFmtId="10" fontId="18" fillId="0" borderId="0" xfId="5" applyNumberFormat="1" applyFont="1" applyBorder="1" applyAlignment="1" applyProtection="1">
      <alignment horizontal="center"/>
    </xf>
    <xf numFmtId="0" fontId="18" fillId="0" borderId="0" xfId="11" applyFont="1"/>
    <xf numFmtId="179" fontId="18" fillId="0" borderId="0" xfId="11" applyNumberFormat="1" applyFont="1"/>
    <xf numFmtId="0" fontId="18" fillId="0" borderId="0" xfId="11" applyFont="1" applyBorder="1"/>
    <xf numFmtId="0" fontId="42" fillId="2" borderId="0" xfId="11" applyFont="1" applyFill="1"/>
    <xf numFmtId="0" fontId="17" fillId="2" borderId="0" xfId="11" applyFont="1" applyFill="1"/>
    <xf numFmtId="179" fontId="17" fillId="2" borderId="0" xfId="11" applyNumberFormat="1" applyFont="1" applyFill="1"/>
    <xf numFmtId="0" fontId="24" fillId="0" borderId="0" xfId="11" applyFont="1" applyBorder="1" applyAlignment="1">
      <alignment horizontal="left"/>
    </xf>
    <xf numFmtId="42" fontId="18" fillId="0" borderId="0" xfId="11" applyNumberFormat="1" applyFont="1"/>
    <xf numFmtId="41" fontId="18" fillId="0" borderId="0" xfId="11" applyNumberFormat="1" applyFont="1"/>
    <xf numFmtId="9" fontId="18" fillId="0" borderId="0" xfId="11" applyNumberFormat="1" applyFont="1"/>
    <xf numFmtId="0" fontId="18" fillId="0" borderId="9" xfId="11" applyFont="1" applyBorder="1"/>
    <xf numFmtId="167" fontId="18" fillId="5" borderId="9" xfId="1" applyNumberFormat="1" applyFont="1" applyFill="1" applyBorder="1" applyProtection="1"/>
    <xf numFmtId="169" fontId="18" fillId="7" borderId="0" xfId="1" applyNumberFormat="1" applyFont="1" applyFill="1" applyBorder="1" applyProtection="1"/>
    <xf numFmtId="0" fontId="54" fillId="7" borderId="0" xfId="7" applyFont="1" applyFill="1"/>
    <xf numFmtId="0" fontId="24" fillId="0" borderId="0" xfId="11" applyFont="1" applyAlignment="1">
      <alignment horizontal="left"/>
    </xf>
    <xf numFmtId="10" fontId="18" fillId="0" borderId="0" xfId="1" applyNumberFormat="1" applyFont="1"/>
    <xf numFmtId="164" fontId="18" fillId="5" borderId="9" xfId="5" applyNumberFormat="1" applyFont="1" applyFill="1" applyBorder="1" applyProtection="1"/>
    <xf numFmtId="0" fontId="18" fillId="7" borderId="0" xfId="5" applyFont="1" applyFill="1" applyBorder="1" applyProtection="1"/>
    <xf numFmtId="10" fontId="18" fillId="0" borderId="0" xfId="1" applyNumberFormat="1" applyFont="1" applyBorder="1"/>
    <xf numFmtId="0" fontId="18" fillId="0" borderId="12" xfId="11" applyFont="1" applyBorder="1"/>
    <xf numFmtId="164" fontId="18" fillId="0" borderId="12" xfId="11" applyNumberFormat="1" applyFont="1" applyBorder="1"/>
    <xf numFmtId="0" fontId="18" fillId="7" borderId="0" xfId="11" applyFont="1" applyFill="1"/>
    <xf numFmtId="1" fontId="18" fillId="0" borderId="0" xfId="11" applyNumberFormat="1" applyFont="1"/>
    <xf numFmtId="0" fontId="24" fillId="0" borderId="0" xfId="11" applyFont="1"/>
    <xf numFmtId="164" fontId="18" fillId="5" borderId="12" xfId="5" applyNumberFormat="1" applyFont="1" applyFill="1" applyBorder="1" applyProtection="1"/>
    <xf numFmtId="177" fontId="18" fillId="0" borderId="9" xfId="11" applyNumberFormat="1" applyFont="1" applyBorder="1"/>
    <xf numFmtId="6" fontId="18" fillId="0" borderId="0" xfId="11" applyNumberFormat="1" applyFont="1"/>
    <xf numFmtId="8" fontId="18" fillId="0" borderId="0" xfId="11" applyNumberFormat="1" applyFont="1"/>
    <xf numFmtId="0" fontId="18" fillId="0" borderId="3" xfId="11" applyFont="1" applyBorder="1"/>
    <xf numFmtId="178" fontId="18" fillId="0" borderId="3" xfId="11" applyNumberFormat="1" applyFont="1" applyBorder="1"/>
    <xf numFmtId="6" fontId="24" fillId="0" borderId="0" xfId="11" applyNumberFormat="1" applyFont="1"/>
    <xf numFmtId="38" fontId="42" fillId="2" borderId="0" xfId="12" applyNumberFormat="1" applyFont="1" applyFill="1" applyAlignment="1">
      <alignment horizontal="centerContinuous" vertical="center"/>
    </xf>
    <xf numFmtId="0" fontId="42" fillId="2" borderId="1" xfId="13" applyFont="1" applyFill="1" applyBorder="1" applyAlignment="1">
      <alignment horizontal="right"/>
    </xf>
    <xf numFmtId="0" fontId="42" fillId="2" borderId="2" xfId="13" applyFont="1" applyFill="1" applyBorder="1" applyAlignment="1">
      <alignment horizontal="right"/>
    </xf>
    <xf numFmtId="0" fontId="24" fillId="4" borderId="9" xfId="12" applyFont="1" applyFill="1" applyBorder="1" applyAlignment="1">
      <alignment horizontal="right"/>
    </xf>
    <xf numFmtId="0" fontId="24" fillId="4" borderId="16" xfId="12" applyFont="1" applyFill="1" applyBorder="1" applyAlignment="1">
      <alignment horizontal="right"/>
    </xf>
    <xf numFmtId="0" fontId="24" fillId="4" borderId="7" xfId="12" applyFont="1" applyFill="1" applyBorder="1" applyAlignment="1">
      <alignment horizontal="right"/>
    </xf>
    <xf numFmtId="38" fontId="18" fillId="0" borderId="0" xfId="12" applyNumberFormat="1" applyFont="1" applyBorder="1" applyAlignment="1">
      <alignment horizontal="right"/>
    </xf>
    <xf numFmtId="1" fontId="18" fillId="0" borderId="16" xfId="13" applyNumberFormat="1" applyFont="1" applyFill="1" applyBorder="1"/>
    <xf numFmtId="1" fontId="18" fillId="0" borderId="7" xfId="13" applyNumberFormat="1" applyFont="1" applyFill="1" applyBorder="1"/>
    <xf numFmtId="1" fontId="18" fillId="0" borderId="5" xfId="13" applyNumberFormat="1" applyFont="1" applyFill="1" applyBorder="1"/>
    <xf numFmtId="1" fontId="18" fillId="0" borderId="6" xfId="13" applyNumberFormat="1" applyFont="1" applyFill="1" applyBorder="1"/>
    <xf numFmtId="0" fontId="18" fillId="4" borderId="0" xfId="12" applyFont="1" applyFill="1"/>
    <xf numFmtId="180" fontId="24" fillId="4" borderId="9" xfId="12" applyNumberFormat="1" applyFont="1" applyFill="1" applyBorder="1" applyAlignment="1">
      <alignment horizontal="center"/>
    </xf>
    <xf numFmtId="0" fontId="24" fillId="0" borderId="0" xfId="12" applyFont="1"/>
    <xf numFmtId="38" fontId="18" fillId="0" borderId="0" xfId="12" applyNumberFormat="1" applyFont="1" applyBorder="1"/>
    <xf numFmtId="38" fontId="18" fillId="0" borderId="3" xfId="12" applyNumberFormat="1" applyFont="1" applyBorder="1"/>
    <xf numFmtId="38" fontId="18" fillId="0" borderId="0" xfId="12" applyNumberFormat="1" applyFont="1"/>
    <xf numFmtId="0" fontId="55" fillId="0" borderId="11" xfId="11" applyFont="1" applyBorder="1"/>
    <xf numFmtId="0" fontId="24" fillId="0" borderId="12" xfId="11" applyFont="1" applyBorder="1"/>
    <xf numFmtId="0" fontId="24" fillId="0" borderId="13" xfId="11" applyFont="1" applyBorder="1"/>
    <xf numFmtId="42" fontId="18" fillId="0" borderId="0" xfId="14" applyFont="1"/>
    <xf numFmtId="42" fontId="18" fillId="0" borderId="0" xfId="14" applyFont="1" applyBorder="1"/>
    <xf numFmtId="0" fontId="24" fillId="4" borderId="0" xfId="11" applyFont="1" applyFill="1"/>
    <xf numFmtId="179" fontId="24" fillId="4" borderId="0" xfId="11" applyNumberFormat="1" applyFont="1" applyFill="1" applyAlignment="1">
      <alignment horizontal="center"/>
    </xf>
    <xf numFmtId="42" fontId="24" fillId="4" borderId="0" xfId="14" applyFont="1" applyFill="1"/>
    <xf numFmtId="42" fontId="24" fillId="4" borderId="0" xfId="14" applyFont="1" applyFill="1" applyBorder="1"/>
    <xf numFmtId="0" fontId="56" fillId="4" borderId="0" xfId="11" applyFont="1" applyFill="1" applyAlignment="1">
      <alignment horizontal="center"/>
    </xf>
    <xf numFmtId="0" fontId="18" fillId="4" borderId="0" xfId="11" applyFont="1" applyFill="1"/>
    <xf numFmtId="0" fontId="24" fillId="4" borderId="0" xfId="11" applyFont="1" applyFill="1" applyAlignment="1">
      <alignment horizontal="right"/>
    </xf>
    <xf numFmtId="0" fontId="32" fillId="0" borderId="0" xfId="11" applyFont="1"/>
    <xf numFmtId="0" fontId="53" fillId="0" borderId="0" xfId="11" applyFont="1"/>
    <xf numFmtId="181" fontId="53" fillId="0" borderId="0" xfId="11" applyNumberFormat="1" applyFont="1" applyAlignment="1">
      <alignment horizontal="left"/>
    </xf>
    <xf numFmtId="41" fontId="32" fillId="0" borderId="0" xfId="15" applyFont="1"/>
    <xf numFmtId="179" fontId="32" fillId="0" borderId="0" xfId="15" applyNumberFormat="1" applyFont="1"/>
    <xf numFmtId="42" fontId="32" fillId="0" borderId="0" xfId="14" applyFont="1"/>
    <xf numFmtId="42" fontId="32" fillId="0" borderId="0" xfId="14" applyFont="1" applyBorder="1"/>
    <xf numFmtId="0" fontId="32" fillId="0" borderId="0" xfId="11" applyFont="1" applyBorder="1"/>
    <xf numFmtId="42" fontId="53" fillId="0" borderId="0" xfId="14" applyFont="1"/>
    <xf numFmtId="42" fontId="53" fillId="0" borderId="0" xfId="14" applyFont="1" applyBorder="1"/>
    <xf numFmtId="179" fontId="53" fillId="0" borderId="0" xfId="15" applyNumberFormat="1" applyFont="1"/>
    <xf numFmtId="6" fontId="32" fillId="0" borderId="0" xfId="11" applyNumberFormat="1" applyFont="1"/>
    <xf numFmtId="0" fontId="53" fillId="0" borderId="3" xfId="11" applyFont="1" applyBorder="1"/>
    <xf numFmtId="0" fontId="32" fillId="4" borderId="3" xfId="11" applyFont="1" applyFill="1" applyBorder="1"/>
    <xf numFmtId="41" fontId="32" fillId="4" borderId="3" xfId="15" applyFont="1" applyFill="1" applyBorder="1"/>
    <xf numFmtId="179" fontId="32" fillId="4" borderId="3" xfId="15" applyNumberFormat="1" applyFont="1" applyFill="1" applyBorder="1"/>
    <xf numFmtId="42" fontId="32" fillId="4" borderId="3" xfId="14" applyFont="1" applyFill="1" applyBorder="1"/>
    <xf numFmtId="0" fontId="32" fillId="4" borderId="0" xfId="11" applyFont="1" applyFill="1" applyBorder="1"/>
    <xf numFmtId="41" fontId="32" fillId="4" borderId="0" xfId="15" applyFont="1" applyFill="1" applyBorder="1"/>
    <xf numFmtId="179" fontId="32" fillId="4" borderId="0" xfId="15" applyNumberFormat="1" applyFont="1" applyFill="1" applyBorder="1"/>
    <xf numFmtId="42" fontId="53" fillId="4" borderId="0" xfId="14" applyFont="1" applyFill="1" applyBorder="1"/>
    <xf numFmtId="42" fontId="32" fillId="4" borderId="0" xfId="14" applyFont="1" applyFill="1" applyBorder="1"/>
    <xf numFmtId="14" fontId="53" fillId="0" borderId="0" xfId="11" applyNumberFormat="1" applyFont="1"/>
    <xf numFmtId="0" fontId="32" fillId="4" borderId="9" xfId="11" applyFont="1" applyFill="1" applyBorder="1"/>
    <xf numFmtId="41" fontId="32" fillId="4" borderId="9" xfId="15" applyFont="1" applyFill="1" applyBorder="1"/>
    <xf numFmtId="179" fontId="53" fillId="4" borderId="9" xfId="15" applyNumberFormat="1" applyFont="1" applyFill="1" applyBorder="1"/>
    <xf numFmtId="6" fontId="32" fillId="4" borderId="9" xfId="11" applyNumberFormat="1" applyFont="1" applyFill="1" applyBorder="1"/>
    <xf numFmtId="41" fontId="32" fillId="0" borderId="0" xfId="15" applyFont="1" applyBorder="1"/>
    <xf numFmtId="179" fontId="32" fillId="0" borderId="0" xfId="15" applyNumberFormat="1" applyFont="1" applyBorder="1"/>
    <xf numFmtId="6" fontId="32" fillId="0" borderId="0" xfId="11" applyNumberFormat="1" applyFont="1" applyBorder="1"/>
    <xf numFmtId="0" fontId="32" fillId="0" borderId="3" xfId="11" applyFont="1" applyBorder="1"/>
    <xf numFmtId="41" fontId="32" fillId="0" borderId="3" xfId="15" applyFont="1" applyBorder="1"/>
    <xf numFmtId="179" fontId="32" fillId="0" borderId="3" xfId="15" applyNumberFormat="1" applyFont="1" applyBorder="1"/>
    <xf numFmtId="6" fontId="32" fillId="0" borderId="3" xfId="11" applyNumberFormat="1" applyFont="1" applyBorder="1"/>
    <xf numFmtId="0" fontId="32" fillId="0" borderId="9" xfId="11" applyFont="1" applyBorder="1"/>
    <xf numFmtId="41" fontId="32" fillId="0" borderId="9" xfId="15" applyFont="1" applyBorder="1"/>
    <xf numFmtId="179" fontId="53" fillId="0" borderId="9" xfId="15" applyNumberFormat="1" applyFont="1" applyBorder="1"/>
    <xf numFmtId="6" fontId="32" fillId="0" borderId="9" xfId="11" applyNumberFormat="1" applyFont="1" applyBorder="1"/>
    <xf numFmtId="0" fontId="24" fillId="0" borderId="3" xfId="11" applyFont="1" applyBorder="1"/>
    <xf numFmtId="0" fontId="18" fillId="0" borderId="0" xfId="11" applyFont="1" applyFill="1"/>
    <xf numFmtId="0" fontId="29" fillId="0" borderId="7" xfId="8" applyFont="1" applyFill="1" applyBorder="1"/>
    <xf numFmtId="37" fontId="24" fillId="0" borderId="7" xfId="8" applyNumberFormat="1" applyFont="1" applyFill="1" applyBorder="1" applyAlignment="1">
      <alignment vertical="center"/>
    </xf>
    <xf numFmtId="37" fontId="24" fillId="0" borderId="7" xfId="9" applyNumberFormat="1" applyFont="1" applyFill="1" applyBorder="1" applyAlignment="1"/>
    <xf numFmtId="0" fontId="18" fillId="0" borderId="7" xfId="5" applyFont="1" applyFill="1" applyBorder="1" applyProtection="1"/>
    <xf numFmtId="0" fontId="24" fillId="0" borderId="7" xfId="5" applyFont="1" applyFill="1" applyBorder="1" applyProtection="1"/>
    <xf numFmtId="0" fontId="18" fillId="0" borderId="7" xfId="5" applyNumberFormat="1" applyFont="1" applyFill="1" applyBorder="1" applyAlignment="1" applyProtection="1"/>
    <xf numFmtId="0" fontId="19" fillId="2" borderId="0" xfId="5" applyFont="1" applyFill="1" applyBorder="1" applyAlignment="1" applyProtection="1">
      <alignment horizontal="center"/>
    </xf>
    <xf numFmtId="0" fontId="41" fillId="2" borderId="0" xfId="5" applyFont="1" applyFill="1" applyBorder="1" applyProtection="1"/>
    <xf numFmtId="44" fontId="41" fillId="2" borderId="0" xfId="6" applyFont="1" applyFill="1" applyBorder="1" applyAlignment="1">
      <alignment horizontal="left"/>
    </xf>
    <xf numFmtId="10" fontId="0" fillId="0" borderId="0" xfId="0" applyNumberFormat="1"/>
    <xf numFmtId="42" fontId="0" fillId="0" borderId="0" xfId="0" applyNumberFormat="1"/>
    <xf numFmtId="182" fontId="27" fillId="8" borderId="0" xfId="5" applyNumberFormat="1" applyFont="1" applyFill="1" applyBorder="1" applyAlignment="1" applyProtection="1">
      <alignment horizontal="center"/>
    </xf>
    <xf numFmtId="0" fontId="28" fillId="0" borderId="0" xfId="5" applyFont="1" applyFill="1" applyBorder="1" applyAlignment="1" applyProtection="1">
      <alignment horizontal="center"/>
    </xf>
    <xf numFmtId="167" fontId="18" fillId="0" borderId="0" xfId="5" applyNumberFormat="1" applyFont="1" applyFill="1" applyBorder="1" applyAlignment="1" applyProtection="1">
      <alignment horizontal="right"/>
    </xf>
    <xf numFmtId="167" fontId="10" fillId="3" borderId="0" xfId="5" applyNumberFormat="1" applyFont="1" applyFill="1" applyBorder="1" applyAlignment="1" applyProtection="1">
      <alignment horizontal="right"/>
    </xf>
    <xf numFmtId="10" fontId="23" fillId="3" borderId="0" xfId="1" applyNumberFormat="1" applyFont="1" applyFill="1" applyBorder="1" applyAlignment="1" applyProtection="1">
      <alignment horizontal="right"/>
    </xf>
    <xf numFmtId="0" fontId="18" fillId="0" borderId="0" xfId="5" applyNumberFormat="1" applyFont="1" applyFill="1" applyBorder="1" applyAlignment="1" applyProtection="1">
      <alignment horizontal="left" indent="1"/>
    </xf>
    <xf numFmtId="10" fontId="21" fillId="0" borderId="0" xfId="1" applyNumberFormat="1" applyFont="1" applyFill="1" applyBorder="1" applyAlignment="1" applyProtection="1"/>
    <xf numFmtId="0" fontId="0" fillId="9" borderId="0" xfId="0" applyFill="1"/>
    <xf numFmtId="0" fontId="9" fillId="0" borderId="0" xfId="0" applyFont="1" applyFill="1"/>
    <xf numFmtId="168" fontId="24" fillId="0" borderId="0" xfId="8" applyNumberFormat="1" applyFont="1" applyFill="1" applyBorder="1" applyAlignment="1">
      <alignment horizontal="center"/>
    </xf>
    <xf numFmtId="0" fontId="18" fillId="0" borderId="14" xfId="5" applyFont="1" applyFill="1" applyBorder="1" applyAlignment="1" applyProtection="1">
      <alignment horizontal="center"/>
    </xf>
    <xf numFmtId="1" fontId="57" fillId="3" borderId="14" xfId="5" applyNumberFormat="1" applyFont="1" applyFill="1" applyBorder="1" applyAlignment="1" applyProtection="1">
      <alignment horizontal="center"/>
    </xf>
    <xf numFmtId="0" fontId="9" fillId="9" borderId="0" xfId="0" applyFont="1" applyFill="1"/>
    <xf numFmtId="10" fontId="0" fillId="9" borderId="0" xfId="0" applyNumberFormat="1" applyFill="1"/>
    <xf numFmtId="9" fontId="0" fillId="0" borderId="0" xfId="0" applyNumberFormat="1"/>
    <xf numFmtId="0" fontId="14" fillId="2" borderId="0" xfId="5" applyNumberFormat="1" applyFont="1" applyFill="1" applyBorder="1" applyAlignment="1" applyProtection="1">
      <alignment horizontal="left"/>
    </xf>
    <xf numFmtId="0" fontId="15" fillId="2" borderId="0" xfId="5" applyFont="1" applyFill="1" applyBorder="1" applyProtection="1"/>
    <xf numFmtId="171" fontId="15" fillId="2" borderId="16" xfId="1" applyNumberFormat="1" applyFont="1" applyFill="1" applyBorder="1" applyAlignment="1">
      <alignment horizontal="right"/>
    </xf>
    <xf numFmtId="171" fontId="15" fillId="2" borderId="0" xfId="1" applyNumberFormat="1" applyFont="1" applyFill="1" applyBorder="1" applyAlignment="1">
      <alignment horizontal="right"/>
    </xf>
    <xf numFmtId="38" fontId="42" fillId="2" borderId="1" xfId="12" applyNumberFormat="1" applyFont="1" applyFill="1" applyBorder="1" applyAlignment="1">
      <alignment horizontal="centerContinuous" vertical="center"/>
    </xf>
    <xf numFmtId="38" fontId="42" fillId="2" borderId="3" xfId="12" applyNumberFormat="1" applyFont="1" applyFill="1" applyBorder="1" applyAlignment="1">
      <alignment horizontal="centerContinuous" vertical="center"/>
    </xf>
    <xf numFmtId="38" fontId="42" fillId="2" borderId="2" xfId="12" applyNumberFormat="1" applyFont="1" applyFill="1" applyBorder="1" applyAlignment="1">
      <alignment horizontal="centerContinuous" vertical="center"/>
    </xf>
    <xf numFmtId="0" fontId="24" fillId="4" borderId="5" xfId="12" applyFont="1" applyFill="1" applyBorder="1" applyAlignment="1">
      <alignment horizontal="center"/>
    </xf>
    <xf numFmtId="0" fontId="24" fillId="4" borderId="6" xfId="12" applyFont="1" applyFill="1" applyBorder="1" applyAlignment="1">
      <alignment horizontal="right"/>
    </xf>
    <xf numFmtId="0" fontId="18" fillId="0" borderId="16" xfId="12" applyFont="1" applyBorder="1" applyAlignment="1">
      <alignment horizontal="center"/>
    </xf>
    <xf numFmtId="38" fontId="18" fillId="0" borderId="7" xfId="12" applyNumberFormat="1" applyFont="1" applyBorder="1" applyAlignment="1">
      <alignment horizontal="right"/>
    </xf>
    <xf numFmtId="0" fontId="18" fillId="0" borderId="5" xfId="12" applyFont="1" applyBorder="1" applyAlignment="1">
      <alignment horizontal="center"/>
    </xf>
    <xf numFmtId="38" fontId="18" fillId="0" borderId="9" xfId="12" applyNumberFormat="1" applyFont="1" applyBorder="1" applyAlignment="1">
      <alignment horizontal="right"/>
    </xf>
    <xf numFmtId="38" fontId="18" fillId="0" borderId="6" xfId="12" applyNumberFormat="1" applyFont="1" applyBorder="1" applyAlignment="1">
      <alignment horizontal="right"/>
    </xf>
    <xf numFmtId="1" fontId="24" fillId="0" borderId="14" xfId="8" applyNumberFormat="1" applyFont="1" applyFill="1" applyBorder="1" applyAlignment="1">
      <alignment horizontal="center"/>
    </xf>
    <xf numFmtId="1" fontId="24" fillId="9" borderId="14" xfId="8" applyNumberFormat="1" applyFont="1" applyFill="1" applyBorder="1" applyAlignment="1">
      <alignment horizontal="center"/>
    </xf>
    <xf numFmtId="1" fontId="23" fillId="3" borderId="16" xfId="13" applyNumberFormat="1" applyFont="1" applyFill="1" applyBorder="1"/>
    <xf numFmtId="0" fontId="23" fillId="3" borderId="16" xfId="12" applyFont="1" applyFill="1" applyBorder="1" applyAlignment="1">
      <alignment horizontal="center"/>
    </xf>
    <xf numFmtId="9" fontId="16" fillId="0" borderId="0" xfId="3" applyNumberFormat="1" applyFont="1"/>
    <xf numFmtId="183" fontId="37" fillId="0" borderId="0" xfId="5" applyNumberFormat="1" applyFont="1" applyFill="1" applyBorder="1" applyAlignment="1" applyProtection="1">
      <alignment horizontal="right"/>
    </xf>
    <xf numFmtId="0" fontId="18" fillId="0" borderId="0" xfId="5" applyFont="1" applyFill="1" applyBorder="1" applyAlignment="1" applyProtection="1">
      <alignment horizontal="centerContinuous"/>
    </xf>
    <xf numFmtId="14" fontId="45" fillId="0" borderId="0" xfId="5" applyNumberFormat="1" applyFont="1" applyFill="1" applyBorder="1" applyAlignment="1" applyProtection="1">
      <alignment horizontal="left"/>
    </xf>
    <xf numFmtId="0" fontId="21" fillId="0" borderId="1" xfId="10" applyFont="1" applyFill="1" applyBorder="1" applyAlignment="1">
      <alignment horizontal="left"/>
    </xf>
    <xf numFmtId="0" fontId="21" fillId="0" borderId="3" xfId="10" applyFont="1" applyFill="1" applyBorder="1" applyAlignment="1"/>
    <xf numFmtId="1" fontId="21" fillId="0" borderId="3" xfId="10" applyNumberFormat="1" applyFont="1" applyFill="1" applyBorder="1" applyAlignment="1"/>
    <xf numFmtId="1" fontId="21" fillId="0" borderId="3" xfId="10" applyNumberFormat="1" applyFont="1" applyFill="1" applyBorder="1" applyAlignment="1">
      <alignment horizontal="right"/>
    </xf>
    <xf numFmtId="1" fontId="21" fillId="0" borderId="3" xfId="6" applyNumberFormat="1" applyFont="1" applyFill="1" applyBorder="1" applyAlignment="1"/>
    <xf numFmtId="10" fontId="21" fillId="0" borderId="2" xfId="6" applyNumberFormat="1" applyFont="1" applyFill="1" applyBorder="1" applyAlignment="1"/>
    <xf numFmtId="0" fontId="21" fillId="0" borderId="5" xfId="10" applyFont="1" applyFill="1" applyBorder="1" applyAlignment="1">
      <alignment horizontal="left"/>
    </xf>
    <xf numFmtId="10" fontId="21" fillId="0" borderId="6" xfId="6" applyNumberFormat="1" applyFont="1" applyFill="1" applyBorder="1" applyAlignment="1"/>
    <xf numFmtId="164" fontId="41" fillId="2" borderId="0" xfId="4" applyNumberFormat="1" applyFont="1" applyFill="1" applyBorder="1" applyAlignment="1" applyProtection="1">
      <alignment horizontal="center"/>
      <protection locked="0"/>
    </xf>
    <xf numFmtId="164" fontId="39" fillId="3" borderId="0" xfId="4" applyNumberFormat="1" applyFont="1" applyFill="1" applyBorder="1" applyAlignment="1" applyProtection="1">
      <alignment horizontal="center"/>
      <protection locked="0"/>
    </xf>
    <xf numFmtId="4" fontId="21" fillId="0" borderId="0" xfId="5" applyNumberFormat="1" applyFont="1" applyBorder="1" applyProtection="1"/>
    <xf numFmtId="42" fontId="18" fillId="0" borderId="0" xfId="5" applyNumberFormat="1" applyFont="1" applyFill="1" applyBorder="1" applyAlignment="1" applyProtection="1">
      <alignment horizontal="center"/>
    </xf>
    <xf numFmtId="42" fontId="24" fillId="0" borderId="12" xfId="5" applyNumberFormat="1" applyFont="1" applyFill="1" applyBorder="1" applyAlignment="1" applyProtection="1">
      <alignment horizontal="center"/>
    </xf>
    <xf numFmtId="44" fontId="18" fillId="0" borderId="0" xfId="5" applyNumberFormat="1" applyFont="1" applyFill="1" applyBorder="1" applyAlignment="1" applyProtection="1">
      <alignment horizontal="center"/>
    </xf>
    <xf numFmtId="44" fontId="24" fillId="0" borderId="12" xfId="5" applyNumberFormat="1" applyFont="1" applyFill="1" applyBorder="1" applyAlignment="1" applyProtection="1">
      <alignment horizontal="center"/>
    </xf>
    <xf numFmtId="0" fontId="34" fillId="0" borderId="0" xfId="2" applyFont="1" applyFill="1" applyAlignment="1">
      <alignment horizontal="centerContinuous"/>
    </xf>
    <xf numFmtId="0" fontId="34" fillId="0" borderId="0" xfId="2" applyFont="1" applyFill="1" applyBorder="1" applyAlignment="1">
      <alignment horizontal="centerContinuous"/>
    </xf>
    <xf numFmtId="166" fontId="21" fillId="6" borderId="0" xfId="9" applyNumberFormat="1" applyFont="1" applyFill="1" applyBorder="1" applyAlignment="1">
      <alignment horizontal="right"/>
    </xf>
    <xf numFmtId="171" fontId="18" fillId="0" borderId="0" xfId="5" applyNumberFormat="1" applyFont="1" applyFill="1" applyBorder="1" applyAlignment="1" applyProtection="1">
      <alignment horizontal="center"/>
    </xf>
    <xf numFmtId="171" fontId="24" fillId="0" borderId="12" xfId="5" applyNumberFormat="1" applyFont="1" applyFill="1" applyBorder="1" applyAlignment="1" applyProtection="1">
      <alignment horizontal="center"/>
    </xf>
    <xf numFmtId="0" fontId="24" fillId="0" borderId="2" xfId="8" applyFont="1" applyFill="1" applyBorder="1" applyAlignment="1">
      <alignment vertical="center"/>
    </xf>
    <xf numFmtId="0" fontId="24" fillId="0" borderId="15" xfId="5" applyFont="1" applyFill="1" applyBorder="1" applyProtection="1"/>
    <xf numFmtId="0" fontId="24" fillId="0" borderId="12" xfId="5" applyFont="1" applyFill="1" applyBorder="1" applyProtection="1"/>
    <xf numFmtId="0" fontId="24" fillId="0" borderId="12" xfId="8" applyFont="1" applyFill="1" applyBorder="1"/>
    <xf numFmtId="2" fontId="24" fillId="0" borderId="0" xfId="8" applyNumberFormat="1" applyFont="1" applyFill="1" applyBorder="1" applyAlignment="1">
      <alignment vertical="center"/>
    </xf>
    <xf numFmtId="37" fontId="18" fillId="0" borderId="3" xfId="8" applyNumberFormat="1" applyFont="1" applyFill="1" applyBorder="1" applyAlignment="1">
      <alignment vertical="center"/>
    </xf>
    <xf numFmtId="37" fontId="24" fillId="0" borderId="12" xfId="8" applyNumberFormat="1" applyFont="1" applyFill="1" applyBorder="1" applyAlignment="1">
      <alignment vertical="center"/>
    </xf>
    <xf numFmtId="37" fontId="24" fillId="0" borderId="18" xfId="8" applyNumberFormat="1" applyFont="1" applyFill="1" applyBorder="1" applyAlignment="1">
      <alignment vertical="center"/>
    </xf>
    <xf numFmtId="0" fontId="24" fillId="0" borderId="2" xfId="8" applyFont="1" applyFill="1" applyBorder="1"/>
    <xf numFmtId="0" fontId="27" fillId="0" borderId="0" xfId="5" applyFont="1" applyBorder="1" applyProtection="1"/>
    <xf numFmtId="0" fontId="24" fillId="0" borderId="3" xfId="5" applyFont="1" applyFill="1" applyBorder="1" applyAlignment="1" applyProtection="1">
      <alignment horizontal="left" indent="3"/>
    </xf>
    <xf numFmtId="41" fontId="16" fillId="0" borderId="0" xfId="3" applyNumberFormat="1" applyFont="1" applyAlignment="1">
      <alignment horizontal="left" indent="1"/>
    </xf>
    <xf numFmtId="41" fontId="16" fillId="0" borderId="0" xfId="3" applyNumberFormat="1" applyFont="1" applyFill="1" applyAlignment="1">
      <alignment horizontal="left" indent="1"/>
    </xf>
    <xf numFmtId="41" fontId="36" fillId="0" borderId="0" xfId="3" applyNumberFormat="1" applyFont="1" applyFill="1" applyAlignment="1">
      <alignment horizontal="centerContinuous"/>
    </xf>
    <xf numFmtId="0" fontId="14" fillId="2" borderId="0" xfId="0" applyFont="1" applyFill="1"/>
    <xf numFmtId="168" fontId="42" fillId="2" borderId="0" xfId="8" applyNumberFormat="1" applyFont="1" applyFill="1" applyBorder="1" applyAlignment="1">
      <alignment horizontal="center"/>
    </xf>
    <xf numFmtId="41" fontId="36" fillId="0" borderId="12" xfId="3" applyNumberFormat="1" applyFont="1" applyFill="1" applyBorder="1" applyAlignment="1">
      <alignment horizontal="left" indent="2"/>
    </xf>
    <xf numFmtId="41" fontId="36" fillId="0" borderId="0" xfId="3" applyNumberFormat="1" applyFont="1" applyFill="1" applyBorder="1" applyAlignment="1">
      <alignment horizontal="left" indent="2"/>
    </xf>
    <xf numFmtId="41" fontId="10" fillId="0" borderId="0" xfId="3" applyNumberFormat="1" applyFont="1" applyFill="1"/>
    <xf numFmtId="5" fontId="41" fillId="0" borderId="0" xfId="4" applyNumberFormat="1" applyFont="1" applyFill="1" applyBorder="1" applyAlignment="1" applyProtection="1">
      <alignment horizontal="center"/>
      <protection locked="0"/>
    </xf>
    <xf numFmtId="41" fontId="18" fillId="0" borderId="16" xfId="8" applyNumberFormat="1" applyFont="1" applyFill="1" applyBorder="1" applyAlignment="1">
      <alignment horizontal="right"/>
    </xf>
    <xf numFmtId="41" fontId="18" fillId="0" borderId="0" xfId="8" applyNumberFormat="1" applyFont="1" applyFill="1" applyBorder="1" applyAlignment="1">
      <alignment horizontal="right"/>
    </xf>
    <xf numFmtId="41" fontId="24" fillId="0" borderId="1" xfId="8" applyNumberFormat="1" applyFont="1" applyFill="1" applyBorder="1" applyAlignment="1">
      <alignment horizontal="right"/>
    </xf>
    <xf numFmtId="41" fontId="24" fillId="0" borderId="3" xfId="8" applyNumberFormat="1" applyFont="1" applyFill="1" applyBorder="1" applyAlignment="1">
      <alignment horizontal="right"/>
    </xf>
    <xf numFmtId="41" fontId="24" fillId="0" borderId="2" xfId="8" applyNumberFormat="1" applyFont="1" applyFill="1" applyBorder="1" applyAlignment="1">
      <alignment horizontal="right"/>
    </xf>
    <xf numFmtId="41" fontId="24" fillId="0" borderId="11" xfId="8" applyNumberFormat="1" applyFont="1" applyFill="1" applyBorder="1" applyAlignment="1">
      <alignment horizontal="right"/>
    </xf>
    <xf numFmtId="41" fontId="24" fillId="0" borderId="12" xfId="8" applyNumberFormat="1" applyFont="1" applyFill="1" applyBorder="1" applyAlignment="1">
      <alignment horizontal="right"/>
    </xf>
    <xf numFmtId="41" fontId="24" fillId="0" borderId="16" xfId="8" applyNumberFormat="1" applyFont="1" applyFill="1" applyBorder="1" applyAlignment="1">
      <alignment horizontal="right"/>
    </xf>
    <xf numFmtId="41" fontId="24" fillId="0" borderId="0" xfId="8" applyNumberFormat="1" applyFont="1" applyFill="1" applyBorder="1" applyAlignment="1">
      <alignment horizontal="right"/>
    </xf>
    <xf numFmtId="41" fontId="24" fillId="0" borderId="15" xfId="8" applyNumberFormat="1" applyFont="1" applyFill="1" applyBorder="1" applyAlignment="1">
      <alignment horizontal="right"/>
    </xf>
    <xf numFmtId="41" fontId="18" fillId="0" borderId="16" xfId="1" applyNumberFormat="1" applyFont="1" applyFill="1" applyBorder="1" applyAlignment="1">
      <alignment horizontal="right"/>
    </xf>
    <xf numFmtId="41" fontId="18" fillId="0" borderId="3" xfId="1" applyNumberFormat="1" applyFont="1" applyFill="1" applyBorder="1" applyAlignment="1">
      <alignment horizontal="right"/>
    </xf>
    <xf numFmtId="41" fontId="18" fillId="0" borderId="5" xfId="1" applyNumberFormat="1" applyFont="1" applyFill="1" applyBorder="1" applyAlignment="1">
      <alignment horizontal="right"/>
    </xf>
    <xf numFmtId="41" fontId="18" fillId="0" borderId="9" xfId="1" applyNumberFormat="1" applyFont="1" applyFill="1" applyBorder="1" applyAlignment="1">
      <alignment horizontal="right"/>
    </xf>
    <xf numFmtId="41" fontId="18" fillId="0" borderId="0" xfId="5" applyNumberFormat="1" applyFont="1" applyFill="1" applyBorder="1" applyAlignment="1" applyProtection="1"/>
    <xf numFmtId="41" fontId="18" fillId="0" borderId="16" xfId="5" applyNumberFormat="1" applyFont="1" applyFill="1" applyBorder="1" applyAlignment="1" applyProtection="1"/>
    <xf numFmtId="41" fontId="18" fillId="0" borderId="0" xfId="1" applyNumberFormat="1" applyFont="1" applyFill="1" applyBorder="1" applyAlignment="1">
      <alignment horizontal="right"/>
    </xf>
    <xf numFmtId="41" fontId="18" fillId="0" borderId="9" xfId="5" applyNumberFormat="1" applyFont="1" applyFill="1" applyBorder="1" applyAlignment="1" applyProtection="1"/>
    <xf numFmtId="41" fontId="18" fillId="0" borderId="0" xfId="5" applyNumberFormat="1" applyFont="1" applyFill="1" applyBorder="1" applyAlignment="1" applyProtection="1">
      <alignment horizontal="right"/>
    </xf>
    <xf numFmtId="41" fontId="23" fillId="3" borderId="0" xfId="5" applyNumberFormat="1" applyFont="1" applyFill="1" applyBorder="1" applyAlignment="1" applyProtection="1">
      <alignment horizontal="right"/>
    </xf>
    <xf numFmtId="41" fontId="24" fillId="0" borderId="3" xfId="5" applyNumberFormat="1" applyFont="1" applyFill="1" applyBorder="1" applyAlignment="1" applyProtection="1">
      <alignment horizontal="right"/>
    </xf>
    <xf numFmtId="41" fontId="18" fillId="0" borderId="3" xfId="5" applyNumberFormat="1" applyFont="1" applyFill="1" applyBorder="1" applyAlignment="1" applyProtection="1">
      <alignment horizontal="right"/>
    </xf>
    <xf numFmtId="41" fontId="18" fillId="0" borderId="0" xfId="5" applyNumberFormat="1" applyFont="1" applyFill="1" applyBorder="1" applyProtection="1"/>
    <xf numFmtId="41" fontId="16" fillId="0" borderId="3" xfId="3" applyNumberFormat="1" applyFont="1" applyFill="1" applyBorder="1"/>
    <xf numFmtId="5" fontId="41" fillId="2" borderId="0" xfId="4" applyNumberFormat="1" applyFont="1" applyFill="1" applyBorder="1" applyAlignment="1" applyProtection="1">
      <alignment horizontal="center"/>
      <protection locked="0"/>
    </xf>
    <xf numFmtId="41" fontId="10" fillId="3" borderId="0" xfId="4" applyNumberFormat="1" applyFont="1" applyFill="1" applyBorder="1" applyAlignment="1" applyProtection="1">
      <alignment horizontal="left"/>
      <protection locked="0"/>
    </xf>
    <xf numFmtId="41" fontId="36" fillId="0" borderId="0" xfId="3" applyNumberFormat="1" applyFont="1" applyFill="1" applyAlignment="1">
      <alignment horizontal="left" indent="2"/>
    </xf>
    <xf numFmtId="37" fontId="24" fillId="0" borderId="13" xfId="8" applyNumberFormat="1" applyFont="1" applyFill="1" applyBorder="1" applyAlignment="1">
      <alignment vertical="center"/>
    </xf>
    <xf numFmtId="0" fontId="24" fillId="0" borderId="13" xfId="5" applyFont="1" applyFill="1" applyBorder="1" applyProtection="1"/>
    <xf numFmtId="41" fontId="24" fillId="0" borderId="12" xfId="5" applyNumberFormat="1" applyFont="1" applyFill="1" applyBorder="1" applyProtection="1"/>
    <xf numFmtId="40" fontId="24" fillId="0" borderId="12" xfId="8" applyNumberFormat="1" applyFont="1" applyFill="1" applyBorder="1" applyAlignment="1">
      <alignment horizontal="right"/>
    </xf>
    <xf numFmtId="171" fontId="37" fillId="0" borderId="0" xfId="4" applyNumberFormat="1" applyFont="1" applyFill="1" applyBorder="1" applyAlignment="1" applyProtection="1">
      <alignment horizontal="right"/>
      <protection locked="0"/>
    </xf>
    <xf numFmtId="41" fontId="37" fillId="0" borderId="0" xfId="4" applyNumberFormat="1" applyFont="1" applyFill="1" applyBorder="1" applyAlignment="1" applyProtection="1">
      <alignment horizontal="left"/>
      <protection locked="0"/>
    </xf>
    <xf numFmtId="41" fontId="37" fillId="0" borderId="0" xfId="4" applyNumberFormat="1" applyFont="1" applyFill="1" applyBorder="1" applyAlignment="1" applyProtection="1">
      <alignment horizontal="left" indent="1"/>
      <protection locked="0"/>
    </xf>
    <xf numFmtId="41" fontId="37" fillId="0" borderId="0" xfId="4" applyNumberFormat="1" applyFont="1" applyFill="1" applyBorder="1" applyAlignment="1" applyProtection="1">
      <alignment horizontal="left" indent="2"/>
      <protection locked="0"/>
    </xf>
    <xf numFmtId="0" fontId="58" fillId="0" borderId="0" xfId="0" applyFont="1"/>
    <xf numFmtId="0" fontId="24" fillId="8" borderId="0" xfId="5" applyFont="1" applyFill="1" applyBorder="1" applyProtection="1"/>
    <xf numFmtId="37" fontId="24" fillId="8" borderId="7" xfId="9" applyNumberFormat="1" applyFont="1" applyFill="1" applyBorder="1" applyAlignment="1"/>
    <xf numFmtId="166" fontId="18" fillId="8" borderId="0" xfId="8" applyNumberFormat="1" applyFont="1" applyFill="1" applyBorder="1" applyAlignment="1">
      <alignment horizontal="right"/>
    </xf>
    <xf numFmtId="37" fontId="24" fillId="8" borderId="7" xfId="8" applyNumberFormat="1" applyFont="1" applyFill="1" applyBorder="1" applyAlignment="1">
      <alignment vertical="center"/>
    </xf>
    <xf numFmtId="166" fontId="18" fillId="8" borderId="0" xfId="5" applyNumberFormat="1" applyFont="1" applyFill="1" applyBorder="1" applyProtection="1"/>
    <xf numFmtId="38" fontId="18" fillId="8" borderId="0" xfId="8" applyNumberFormat="1" applyFont="1" applyFill="1" applyBorder="1" applyAlignment="1">
      <alignment horizontal="right"/>
    </xf>
    <xf numFmtId="0" fontId="24" fillId="0" borderId="2" xfId="5" applyFont="1" applyFill="1" applyBorder="1" applyProtection="1"/>
    <xf numFmtId="41" fontId="24" fillId="0" borderId="3" xfId="5" applyNumberFormat="1" applyFont="1" applyFill="1" applyBorder="1" applyProtection="1"/>
    <xf numFmtId="9" fontId="24" fillId="0" borderId="12" xfId="5" applyNumberFormat="1" applyFont="1" applyFill="1" applyBorder="1" applyAlignment="1" applyProtection="1">
      <alignment horizontal="center"/>
    </xf>
  </cellXfs>
  <cellStyles count="16">
    <cellStyle name="Comma [0] 2" xfId="15"/>
    <cellStyle name="Currency [0] 2" xfId="14"/>
    <cellStyle name="Currency 2" xfId="6"/>
    <cellStyle name="Normal" xfId="0" builtinId="0"/>
    <cellStyle name="Normal 2" xfId="7"/>
    <cellStyle name="Normal_2.1a Commons on the Park Eco 11.1.06" xfId="2"/>
    <cellStyle name="Normal_2Assumptions (Input)" xfId="5"/>
    <cellStyle name="Normal_Cash Flow" xfId="11"/>
    <cellStyle name="Normal_Debt Service" xfId="12"/>
    <cellStyle name="Normal_FS JAO 20071" xfId="13"/>
    <cellStyle name="Normal_NOI-BTB" xfId="4"/>
    <cellStyle name="Normal_Operating Stmt Comparative Anal" xfId="8"/>
    <cellStyle name="Normal_Proforma PrimaVera Stabalized 2" xfId="3"/>
    <cellStyle name="Normal_Rent Roll" xfId="10"/>
    <cellStyle name="Normal_Year One Pro Forma" xfId="9"/>
    <cellStyle name="Percent" xfId="1" builtinId="5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FFCDCD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LOTUS/Onterie/Budget/2003/2002-03%20Onterie%20Internal%20%23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ustin/AppData/Local/Microsoft/Windows/Temporary%20Internet%20Files/Content.Outlook/QM8YK28A/Cottage%20of%20Norman%2004%2010%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2 CAM &amp; TAXES"/>
      <sheetName val="Total Base"/>
      <sheetName val="Partnership Cash"/>
      <sheetName val="2002 Operating Cash"/>
      <sheetName val="Consolidated Cash"/>
      <sheetName val="02-03 Summary Comparison"/>
      <sheetName val="Summary 6 Year"/>
      <sheetName val="Consolidated 6 Year"/>
      <sheetName val="Residential"/>
      <sheetName val="Commercial"/>
      <sheetName val="Parking"/>
      <sheetName val="Health Club"/>
      <sheetName val="Long Term Capital"/>
      <sheetName val="Unit Rehab"/>
      <sheetName val="Square Foot Summary"/>
      <sheetName val="Expense Alloc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ynthetic Sale"/>
      <sheetName val="Capstone Dev Budget"/>
      <sheetName val="Summary"/>
      <sheetName val="Acquisition"/>
      <sheetName val="Academic Year Budget"/>
      <sheetName val="Expenses"/>
      <sheetName val="Capital Budget"/>
      <sheetName val="Occupancy"/>
      <sheetName val="Redev. Cash Flow"/>
      <sheetName val="Hunt"/>
      <sheetName val="IRR"/>
      <sheetName val="unlev IRR"/>
      <sheetName val="Print"/>
    </sheetNames>
    <sheetDataSet>
      <sheetData sheetId="0"/>
      <sheetData sheetId="1"/>
      <sheetData sheetId="2"/>
      <sheetData sheetId="3">
        <row r="2">
          <cell r="D2" t="str">
            <v>Cottages of Norman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56"/>
  <sheetViews>
    <sheetView showGridLines="0" tabSelected="1" zoomScale="85" zoomScaleNormal="85" workbookViewId="0"/>
  </sheetViews>
  <sheetFormatPr defaultRowHeight="15"/>
  <cols>
    <col min="1" max="1" width="1.7109375" customWidth="1"/>
    <col min="2" max="2" width="25.28515625" bestFit="1" customWidth="1"/>
    <col min="3" max="3" width="14.5703125" bestFit="1" customWidth="1"/>
    <col min="4" max="13" width="15.7109375" customWidth="1"/>
    <col min="14" max="14" width="1.7109375" customWidth="1"/>
  </cols>
  <sheetData>
    <row r="1" spans="2:13" ht="5.0999999999999996" customHeight="1"/>
    <row r="2" spans="2:13" ht="18.75">
      <c r="B2" s="9" t="s">
        <v>195</v>
      </c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</row>
    <row r="3" spans="2:13" ht="5.0999999999999996" customHeight="1"/>
    <row r="4" spans="2:13">
      <c r="B4" t="s">
        <v>105</v>
      </c>
      <c r="C4" s="1" t="s">
        <v>35</v>
      </c>
    </row>
    <row r="5" spans="2:13" s="2" customFormat="1" ht="5.0999999999999996" customHeight="1">
      <c r="C5" s="3"/>
    </row>
    <row r="6" spans="2:13">
      <c r="B6" t="s">
        <v>102</v>
      </c>
      <c r="C6" s="5">
        <v>160</v>
      </c>
    </row>
    <row r="7" spans="2:13">
      <c r="B7" t="s">
        <v>179</v>
      </c>
      <c r="C7" s="6">
        <f>'Rent Roll Summary'!F12</f>
        <v>258656</v>
      </c>
    </row>
    <row r="8" spans="2:13" ht="5.0999999999999996" customHeight="1"/>
    <row r="9" spans="2:13">
      <c r="B9" t="s">
        <v>199</v>
      </c>
      <c r="C9" s="4">
        <v>42825</v>
      </c>
    </row>
    <row r="10" spans="2:13" ht="5.0999999999999996" customHeight="1"/>
    <row r="11" spans="2:13" ht="15" customHeight="1">
      <c r="B11" t="s">
        <v>188</v>
      </c>
      <c r="C11" s="353">
        <v>1</v>
      </c>
      <c r="D11" s="371">
        <v>1</v>
      </c>
      <c r="E11" s="371">
        <v>2</v>
      </c>
      <c r="F11" s="371">
        <v>3</v>
      </c>
      <c r="G11" s="454" t="s">
        <v>198</v>
      </c>
    </row>
    <row r="12" spans="2:13" ht="5.0999999999999996" customHeight="1"/>
    <row r="13" spans="2:13">
      <c r="B13" t="s">
        <v>45</v>
      </c>
      <c r="C13" s="341">
        <f>Projection!C7</f>
        <v>80000000</v>
      </c>
      <c r="D13" s="341">
        <f>Projection!D7</f>
        <v>80000000</v>
      </c>
      <c r="E13" s="341">
        <f>Projection!E7</f>
        <v>75000000</v>
      </c>
      <c r="F13" s="341">
        <f>Projection!F7</f>
        <v>70000000</v>
      </c>
    </row>
    <row r="14" spans="2:13">
      <c r="B14" t="s">
        <v>187</v>
      </c>
      <c r="C14" s="341">
        <f>Projection!C14</f>
        <v>52000000</v>
      </c>
      <c r="D14" s="341">
        <f>Projection!D14</f>
        <v>52000000</v>
      </c>
      <c r="E14" s="341">
        <f>Projection!E14</f>
        <v>48750000</v>
      </c>
      <c r="F14" s="341">
        <f>Projection!F14</f>
        <v>45500000</v>
      </c>
    </row>
    <row r="15" spans="2:13">
      <c r="B15" t="s">
        <v>50</v>
      </c>
      <c r="C15" s="356">
        <f>C14/C13</f>
        <v>0.65</v>
      </c>
      <c r="D15" s="356">
        <f>Projection!D15</f>
        <v>0.65</v>
      </c>
      <c r="E15" s="356">
        <f>Projection!E15</f>
        <v>0.65</v>
      </c>
      <c r="F15" s="356">
        <f>Projection!F15</f>
        <v>0.65</v>
      </c>
    </row>
    <row r="16" spans="2:13" ht="5.0999999999999996" customHeight="1"/>
    <row r="17" spans="2:13" ht="15" customHeight="1">
      <c r="B17" t="s">
        <v>201</v>
      </c>
      <c r="C17" s="341">
        <f>C13-C14</f>
        <v>28000000</v>
      </c>
      <c r="D17" s="341">
        <f>D13-D14</f>
        <v>28000000</v>
      </c>
      <c r="E17" s="341">
        <f>E13-E14</f>
        <v>26250000</v>
      </c>
      <c r="F17" s="341">
        <f>F13-F14</f>
        <v>24500000</v>
      </c>
    </row>
    <row r="18" spans="2:13" ht="5.0999999999999996" customHeight="1"/>
    <row r="19" spans="2:13">
      <c r="B19" t="s">
        <v>193</v>
      </c>
      <c r="C19" s="345">
        <v>7</v>
      </c>
    </row>
    <row r="20" spans="2:13" ht="5.0999999999999996" customHeight="1"/>
    <row r="21" spans="2:13">
      <c r="B21" t="s">
        <v>92</v>
      </c>
      <c r="C21" s="340">
        <f>Projection!B96</f>
        <v>6.0302321124354741E-2</v>
      </c>
    </row>
    <row r="22" spans="2:13">
      <c r="B22" t="s">
        <v>96</v>
      </c>
      <c r="C22" s="340">
        <f>Projection!B101</f>
        <v>9.0031946547091124E-2</v>
      </c>
    </row>
    <row r="23" spans="2:13" ht="5.0999999999999996" customHeight="1"/>
    <row r="24" spans="2:13">
      <c r="B24" s="413" t="s">
        <v>196</v>
      </c>
      <c r="C24" s="414">
        <f>Projection!D111</f>
        <v>1</v>
      </c>
      <c r="D24" s="414">
        <f>Projection!E111</f>
        <v>2</v>
      </c>
      <c r="E24" s="414">
        <f>Projection!F111</f>
        <v>3</v>
      </c>
      <c r="F24" s="414">
        <f>Projection!G111</f>
        <v>4</v>
      </c>
      <c r="G24" s="414">
        <f>Projection!H111</f>
        <v>5</v>
      </c>
      <c r="H24" s="414">
        <f>Projection!I111</f>
        <v>6</v>
      </c>
      <c r="I24" s="414">
        <f>Projection!J111</f>
        <v>7</v>
      </c>
      <c r="J24" s="414">
        <f>Projection!K111</f>
        <v>8</v>
      </c>
      <c r="K24" s="414">
        <f>Projection!L111</f>
        <v>9</v>
      </c>
      <c r="L24" s="414">
        <f>Projection!M111</f>
        <v>10</v>
      </c>
      <c r="M24" s="414">
        <f>Projection!N111</f>
        <v>11</v>
      </c>
    </row>
    <row r="25" spans="2:13" s="2" customFormat="1" ht="5.0999999999999996" customHeight="1">
      <c r="B25" s="350"/>
      <c r="C25" s="351"/>
      <c r="D25" s="351"/>
      <c r="E25" s="351"/>
      <c r="F25" s="351"/>
      <c r="G25" s="351"/>
      <c r="H25" s="351"/>
      <c r="I25" s="351"/>
      <c r="J25" s="351"/>
      <c r="K25" s="351"/>
      <c r="L25" s="351"/>
      <c r="M25" s="351"/>
    </row>
    <row r="26" spans="2:13">
      <c r="B26" s="349" t="str">
        <f>Projection!B$104</f>
        <v>Unleveraged 7 YR IRR</v>
      </c>
      <c r="C26" s="355">
        <f>Projection!D$104</f>
        <v>6.0302321124354741E-2</v>
      </c>
      <c r="D26" s="349"/>
      <c r="E26" s="349"/>
      <c r="F26" s="349"/>
      <c r="G26" s="349"/>
      <c r="H26" s="349"/>
      <c r="I26" s="349"/>
      <c r="J26" s="349"/>
      <c r="K26" s="349"/>
      <c r="L26" s="349"/>
      <c r="M26" s="349"/>
    </row>
    <row r="27" spans="2:13">
      <c r="B27" s="349" t="str">
        <f>Projection!B$105</f>
        <v>Leveraged 7 YR IRR</v>
      </c>
      <c r="C27" s="355">
        <f>Projection!D$105</f>
        <v>9.0031946547091124E-2</v>
      </c>
      <c r="D27" s="349"/>
      <c r="E27" s="349"/>
      <c r="F27" s="349"/>
      <c r="G27" s="349"/>
      <c r="H27" s="349"/>
      <c r="I27" s="349"/>
      <c r="J27" s="349"/>
      <c r="K27" s="349"/>
      <c r="L27" s="349"/>
      <c r="M27" s="349"/>
    </row>
    <row r="28" spans="2:13">
      <c r="B28" s="349" t="str">
        <f>Projection!B$106</f>
        <v>Capitalization Rate</v>
      </c>
      <c r="C28" s="355">
        <f>Projection!D$106</f>
        <v>6.1150145443647073E-2</v>
      </c>
      <c r="D28" s="355">
        <f>Projection!E$106</f>
        <v>6.4071483437716459E-2</v>
      </c>
      <c r="E28" s="355">
        <f>Projection!F$106</f>
        <v>6.589623856693759E-2</v>
      </c>
      <c r="F28" s="355">
        <f>Projection!G$106</f>
        <v>6.7873125723945715E-2</v>
      </c>
      <c r="G28" s="355">
        <f>Projection!H$106</f>
        <v>6.9909319495664049E-2</v>
      </c>
      <c r="H28" s="355">
        <f>Projection!I$106</f>
        <v>7.2006599080534028E-2</v>
      </c>
      <c r="I28" s="355">
        <f>Projection!J$106</f>
        <v>7.4166797052949998E-2</v>
      </c>
      <c r="J28" s="355">
        <f>Projection!K$106</f>
        <v>7.6391800964538528E-2</v>
      </c>
      <c r="K28" s="355">
        <f>Projection!L$106</f>
        <v>7.8683554993474708E-2</v>
      </c>
      <c r="L28" s="355">
        <f>Projection!M$106</f>
        <v>8.1044061643278931E-2</v>
      </c>
      <c r="M28" s="355">
        <f>Projection!N$106</f>
        <v>8.3475383492577299E-2</v>
      </c>
    </row>
    <row r="29" spans="2:13">
      <c r="B29" s="349" t="str">
        <f>Projection!B$107</f>
        <v>Leveraged Cash Return</v>
      </c>
      <c r="C29" s="355">
        <f>Projection!D$107</f>
        <v>9.403967866380665E-2</v>
      </c>
      <c r="D29" s="355">
        <f>Projection!E$107</f>
        <v>0.10223417514085963</v>
      </c>
      <c r="E29" s="355">
        <f>Projection!F$107</f>
        <v>0.10735270285255984</v>
      </c>
      <c r="F29" s="355">
        <f>Projection!G$107</f>
        <v>8.2754037082036422E-2</v>
      </c>
      <c r="G29" s="355">
        <f>Projection!H$107</f>
        <v>8.8465660565117302E-2</v>
      </c>
      <c r="H29" s="355">
        <f>Projection!I$107</f>
        <v>9.434863275269087E-2</v>
      </c>
      <c r="I29" s="355">
        <f>Projection!J$107</f>
        <v>0.1004080941058914</v>
      </c>
      <c r="J29" s="355">
        <f>Projection!K$107</f>
        <v>0.21428275165368452</v>
      </c>
      <c r="K29" s="355">
        <f>Projection!L$107</f>
        <v>0.22071123420329511</v>
      </c>
      <c r="L29" s="355">
        <f>Projection!M$107</f>
        <v>0.22733257122939393</v>
      </c>
      <c r="M29" s="355">
        <f>Projection!N$107</f>
        <v>0.23415254836627572</v>
      </c>
    </row>
    <row r="30" spans="2:13">
      <c r="B30" s="349" t="str">
        <f>Projection!B$108</f>
        <v>7 YR AVG Cash Return</v>
      </c>
      <c r="C30" s="355">
        <f>Projection!D$108</f>
        <v>9.5657568737566007E-2</v>
      </c>
      <c r="D30" s="349"/>
      <c r="E30" s="349"/>
      <c r="F30" s="349"/>
      <c r="G30" s="349"/>
      <c r="H30" s="349"/>
      <c r="I30" s="349"/>
      <c r="J30" s="349"/>
      <c r="K30" s="349"/>
      <c r="L30" s="349"/>
      <c r="M30" s="349"/>
    </row>
    <row r="31" spans="2:13" ht="5.0999999999999996" customHeight="1">
      <c r="C31" s="340"/>
    </row>
    <row r="32" spans="2:13">
      <c r="B32" s="413" t="s">
        <v>197</v>
      </c>
      <c r="C32" s="414">
        <f>C24</f>
        <v>1</v>
      </c>
      <c r="D32" s="414">
        <f t="shared" ref="D32:M32" si="0">D24</f>
        <v>2</v>
      </c>
      <c r="E32" s="414">
        <f t="shared" si="0"/>
        <v>3</v>
      </c>
      <c r="F32" s="414">
        <f t="shared" si="0"/>
        <v>4</v>
      </c>
      <c r="G32" s="414">
        <f t="shared" si="0"/>
        <v>5</v>
      </c>
      <c r="H32" s="414">
        <f t="shared" si="0"/>
        <v>6</v>
      </c>
      <c r="I32" s="414">
        <f t="shared" si="0"/>
        <v>7</v>
      </c>
      <c r="J32" s="414">
        <f t="shared" si="0"/>
        <v>8</v>
      </c>
      <c r="K32" s="414">
        <f t="shared" si="0"/>
        <v>9</v>
      </c>
      <c r="L32" s="414">
        <f t="shared" si="0"/>
        <v>10</v>
      </c>
      <c r="M32" s="414">
        <f t="shared" si="0"/>
        <v>11</v>
      </c>
    </row>
    <row r="33" spans="2:13" ht="5.0999999999999996" customHeight="1">
      <c r="C33" s="340"/>
    </row>
    <row r="34" spans="2:13">
      <c r="B34" s="354" t="s">
        <v>188</v>
      </c>
      <c r="C34" s="372">
        <v>1</v>
      </c>
      <c r="D34" s="349"/>
      <c r="E34" s="349"/>
      <c r="F34" s="349"/>
      <c r="G34" s="349"/>
      <c r="H34" s="349"/>
      <c r="I34" s="349"/>
      <c r="J34" s="349"/>
      <c r="K34" s="349"/>
      <c r="L34" s="349"/>
      <c r="M34" s="349"/>
    </row>
    <row r="35" spans="2:13" ht="5.0999999999999996" customHeight="1">
      <c r="B35" s="349"/>
      <c r="C35" s="349"/>
      <c r="D35" s="349"/>
      <c r="E35" s="349"/>
      <c r="F35" s="349"/>
      <c r="G35" s="349"/>
      <c r="H35" s="349"/>
      <c r="I35" s="349"/>
      <c r="J35" s="349"/>
      <c r="K35" s="349"/>
      <c r="L35" s="349"/>
      <c r="M35" s="349"/>
    </row>
    <row r="36" spans="2:13">
      <c r="B36" s="349" t="str">
        <f>Projection!B$104</f>
        <v>Unleveraged 7 YR IRR</v>
      </c>
      <c r="C36" s="355">
        <f>IF($C$11=$C$34,Projection!D$104,C36)</f>
        <v>6.0302321124354741E-2</v>
      </c>
      <c r="D36" s="349"/>
      <c r="E36" s="349"/>
      <c r="F36" s="349"/>
      <c r="G36" s="349"/>
      <c r="H36" s="349"/>
      <c r="I36" s="349"/>
      <c r="J36" s="349"/>
      <c r="K36" s="349"/>
      <c r="L36" s="349"/>
      <c r="M36" s="349"/>
    </row>
    <row r="37" spans="2:13">
      <c r="B37" s="349" t="str">
        <f>Projection!B$105</f>
        <v>Leveraged 7 YR IRR</v>
      </c>
      <c r="C37" s="355">
        <f>IF($C$11=$C$34,Projection!D$105,C37)</f>
        <v>9.0031946547091124E-2</v>
      </c>
      <c r="D37" s="349"/>
      <c r="E37" s="349"/>
      <c r="F37" s="349"/>
      <c r="G37" s="349"/>
      <c r="H37" s="349"/>
      <c r="I37" s="349"/>
      <c r="J37" s="349"/>
      <c r="K37" s="349"/>
      <c r="L37" s="349"/>
      <c r="M37" s="349"/>
    </row>
    <row r="38" spans="2:13">
      <c r="B38" s="349" t="str">
        <f>Projection!B$106</f>
        <v>Capitalization Rate</v>
      </c>
      <c r="C38" s="355">
        <f>IF($C$11=$C$34,Projection!D$106,C38)</f>
        <v>6.1150145443647073E-2</v>
      </c>
      <c r="D38" s="355">
        <f>IF($C$11=$C$34,Projection!E$106,D38)</f>
        <v>6.4071483437716459E-2</v>
      </c>
      <c r="E38" s="355">
        <f>IF($C$11=$C$34,Projection!F$106,E38)</f>
        <v>6.589623856693759E-2</v>
      </c>
      <c r="F38" s="355">
        <f>IF($C$11=$C$34,Projection!G$106,F38)</f>
        <v>6.7873125723945715E-2</v>
      </c>
      <c r="G38" s="355">
        <f>IF($C$11=$C$34,Projection!H$106,G38)</f>
        <v>6.9909319495664049E-2</v>
      </c>
      <c r="H38" s="355">
        <f>IF($C$11=$C$34,Projection!I$106,H38)</f>
        <v>7.2006599080534028E-2</v>
      </c>
      <c r="I38" s="355">
        <f>IF($C$11=$C$34,Projection!J$106,I38)</f>
        <v>7.4166797052949998E-2</v>
      </c>
      <c r="J38" s="355">
        <f>IF($C$11=$C$34,Projection!K$106,J38)</f>
        <v>7.6391800964538528E-2</v>
      </c>
      <c r="K38" s="355">
        <f>IF($C$11=$C$34,Projection!L$106,K38)</f>
        <v>7.8683554993474708E-2</v>
      </c>
      <c r="L38" s="355">
        <f>IF($C$11=$C$34,Projection!M$106,L38)</f>
        <v>8.1044061643278931E-2</v>
      </c>
      <c r="M38" s="355">
        <f>IF($C$11=$C$34,Projection!N$106,M38)</f>
        <v>8.3475383492577299E-2</v>
      </c>
    </row>
    <row r="39" spans="2:13">
      <c r="B39" s="349" t="str">
        <f>Projection!B$107</f>
        <v>Leveraged Cash Return</v>
      </c>
      <c r="C39" s="355">
        <f>IF($C$11=$C$34,Projection!D$107,C39)</f>
        <v>9.403967866380665E-2</v>
      </c>
      <c r="D39" s="355">
        <f>IF($C$11=$C$34,Projection!E$107,D39)</f>
        <v>0.10223417514085963</v>
      </c>
      <c r="E39" s="355">
        <f>IF($C$11=$C$34,Projection!F$107,E39)</f>
        <v>0.10735270285255984</v>
      </c>
      <c r="F39" s="355">
        <f>IF($C$11=$C$34,Projection!G$107,F39)</f>
        <v>8.2754037082036422E-2</v>
      </c>
      <c r="G39" s="355">
        <f>IF($C$11=$C$34,Projection!H$107,G39)</f>
        <v>8.8465660565117302E-2</v>
      </c>
      <c r="H39" s="355">
        <f>IF($C$11=$C$34,Projection!I$107,H39)</f>
        <v>9.434863275269087E-2</v>
      </c>
      <c r="I39" s="355">
        <f>IF($C$11=$C$34,Projection!J$107,I39)</f>
        <v>0.1004080941058914</v>
      </c>
      <c r="J39" s="355">
        <f>IF($C$11=$C$34,Projection!K$107,J39)</f>
        <v>0.21428275165368452</v>
      </c>
      <c r="K39" s="355">
        <f>IF($C$11=$C$34,Projection!L$107,K39)</f>
        <v>0.22071123420329511</v>
      </c>
      <c r="L39" s="355">
        <f>IF($C$11=$C$34,Projection!M$107,L39)</f>
        <v>0.22733257122939393</v>
      </c>
      <c r="M39" s="355">
        <f>IF($C$11=$C$34,Projection!N$107,M39)</f>
        <v>0.23415254836627572</v>
      </c>
    </row>
    <row r="40" spans="2:13">
      <c r="B40" s="349" t="str">
        <f>Projection!B$108</f>
        <v>7 YR AVG Cash Return</v>
      </c>
      <c r="C40" s="355">
        <f>IF($C$11=$C$34,Projection!D$108,C40)</f>
        <v>9.5657568737566007E-2</v>
      </c>
      <c r="D40" s="349"/>
      <c r="E40" s="349"/>
      <c r="F40" s="349"/>
      <c r="G40" s="349"/>
      <c r="H40" s="349"/>
      <c r="I40" s="349"/>
      <c r="J40" s="349"/>
      <c r="K40" s="349"/>
      <c r="L40" s="349"/>
      <c r="M40" s="349"/>
    </row>
    <row r="41" spans="2:13" ht="5.0999999999999996" customHeight="1"/>
    <row r="42" spans="2:13">
      <c r="B42" s="354" t="s">
        <v>188</v>
      </c>
      <c r="C42" s="372">
        <v>2</v>
      </c>
      <c r="D42" s="349"/>
      <c r="E42" s="349"/>
      <c r="F42" s="349"/>
      <c r="G42" s="349"/>
      <c r="H42" s="349"/>
      <c r="I42" s="349"/>
      <c r="J42" s="349"/>
      <c r="K42" s="349"/>
      <c r="L42" s="349"/>
      <c r="M42" s="349"/>
    </row>
    <row r="43" spans="2:13" ht="5.0999999999999996" customHeight="1">
      <c r="B43" s="349"/>
      <c r="C43" s="349"/>
      <c r="D43" s="349"/>
      <c r="E43" s="349"/>
      <c r="F43" s="349"/>
      <c r="G43" s="349"/>
      <c r="H43" s="349"/>
      <c r="I43" s="349"/>
      <c r="J43" s="349"/>
      <c r="K43" s="349"/>
      <c r="L43" s="349"/>
      <c r="M43" s="349"/>
    </row>
    <row r="44" spans="2:13">
      <c r="B44" s="349" t="str">
        <f>Projection!B$104</f>
        <v>Unleveraged 7 YR IRR</v>
      </c>
      <c r="C44" s="355">
        <f ca="1">IF($C$11=$C$42,Projection!D$104,C44)</f>
        <v>7.2144634709872202E-2</v>
      </c>
      <c r="D44" s="349"/>
      <c r="E44" s="349"/>
      <c r="F44" s="349"/>
      <c r="G44" s="349"/>
      <c r="H44" s="349"/>
      <c r="I44" s="349"/>
      <c r="J44" s="349"/>
      <c r="K44" s="349"/>
      <c r="L44" s="349"/>
      <c r="M44" s="349"/>
    </row>
    <row r="45" spans="2:13">
      <c r="B45" s="349" t="str">
        <f>Projection!B$105</f>
        <v>Leveraged 7 YR IRR</v>
      </c>
      <c r="C45" s="355">
        <f ca="1">IF($C$11=$C$42,Projection!D$105,C45)</f>
        <v>0.12054959651349995</v>
      </c>
      <c r="D45" s="349"/>
      <c r="E45" s="349"/>
      <c r="F45" s="349"/>
      <c r="G45" s="349"/>
      <c r="H45" s="349"/>
      <c r="I45" s="349"/>
      <c r="J45" s="349"/>
      <c r="K45" s="349"/>
      <c r="L45" s="349"/>
      <c r="M45" s="349"/>
    </row>
    <row r="46" spans="2:13">
      <c r="B46" s="349" t="str">
        <f>Projection!B$106</f>
        <v>Capitalization Rate</v>
      </c>
      <c r="C46" s="355">
        <f ca="1">IF($C$11=$C$42,Projection!D$106,C46)</f>
        <v>6.5226821806556881E-2</v>
      </c>
      <c r="D46" s="355">
        <f ca="1">IF($C$11=$C$42,Projection!E$106,D46)</f>
        <v>6.8342915666897555E-2</v>
      </c>
      <c r="E46" s="355">
        <f ca="1">IF($C$11=$C$42,Projection!F$106,E46)</f>
        <v>7.0289321138066754E-2</v>
      </c>
      <c r="F46" s="355">
        <f ca="1">IF($C$11=$C$42,Projection!G$106,F46)</f>
        <v>7.2398000772208759E-2</v>
      </c>
      <c r="G46" s="355">
        <f ca="1">IF($C$11=$C$42,Projection!H$106,G46)</f>
        <v>7.4569940795374989E-2</v>
      </c>
      <c r="H46" s="355">
        <f ca="1">IF($C$11=$C$42,Projection!I$106,H46)</f>
        <v>7.6807039019236287E-2</v>
      </c>
      <c r="I46" s="355">
        <f ca="1">IF($C$11=$C$42,Projection!J$106,I46)</f>
        <v>7.911125018981334E-2</v>
      </c>
      <c r="J46" s="355">
        <f ca="1">IF($C$11=$C$42,Projection!K$106,J46)</f>
        <v>8.1484587695507774E-2</v>
      </c>
      <c r="K46" s="355">
        <f ca="1">IF($C$11=$C$42,Projection!L$106,K46)</f>
        <v>8.3929125326373019E-2</v>
      </c>
      <c r="L46" s="355">
        <f ca="1">IF($C$11=$C$42,Projection!M$106,L46)</f>
        <v>8.6446999086164197E-2</v>
      </c>
      <c r="M46" s="355">
        <f ca="1">IF($C$11=$C$42,Projection!N$106,M46)</f>
        <v>8.9040409058749118E-2</v>
      </c>
    </row>
    <row r="47" spans="2:13">
      <c r="B47" s="349" t="str">
        <f>Projection!B$107</f>
        <v>Leveraged Cash Return</v>
      </c>
      <c r="C47" s="355">
        <f ca="1">IF($C$11=$C$42,Projection!D$107,C47)</f>
        <v>0.10547495597912168</v>
      </c>
      <c r="D47" s="355">
        <f ca="1">IF($C$11=$C$42,Projection!E$107,D47)</f>
        <v>0.11421575222131153</v>
      </c>
      <c r="E47" s="355">
        <f ca="1">IF($C$11=$C$42,Projection!F$107,E47)</f>
        <v>0.11967551511379175</v>
      </c>
      <c r="F47" s="355">
        <f ca="1">IF($C$11=$C$42,Projection!G$107,F47)</f>
        <v>9.5446533711105272E-2</v>
      </c>
      <c r="G47" s="355">
        <f ca="1">IF($C$11=$C$42,Projection!H$107,G47)</f>
        <v>0.10153893209305823</v>
      </c>
      <c r="H47" s="355">
        <f ca="1">IF($C$11=$C$42,Projection!I$107,H47)</f>
        <v>0.10781410242647002</v>
      </c>
      <c r="I47" s="355">
        <f ca="1">IF($C$11=$C$42,Projection!J$107,I47)</f>
        <v>0.1142775278698839</v>
      </c>
      <c r="J47" s="355">
        <f ca="1">IF($C$11=$C$42,Projection!K$107,J47)</f>
        <v>0.22856826843059683</v>
      </c>
      <c r="K47" s="355">
        <f ca="1">IF($C$11=$C$42,Projection!L$107,K47)</f>
        <v>0.23542531648351478</v>
      </c>
      <c r="L47" s="355">
        <f ca="1">IF($C$11=$C$42,Projection!M$107,L47)</f>
        <v>0.24248807597802019</v>
      </c>
      <c r="M47" s="355">
        <f ca="1">IF($C$11=$C$42,Projection!N$107,M47)</f>
        <v>0.24976271825736077</v>
      </c>
    </row>
    <row r="48" spans="2:13">
      <c r="B48" s="349" t="str">
        <f>Projection!B$108</f>
        <v>7 YR AVG Cash Return</v>
      </c>
      <c r="C48" s="355">
        <f ca="1">IF($C$11=$C$42,Projection!D$108,C48)</f>
        <v>0.10834904563067749</v>
      </c>
      <c r="D48" s="349"/>
      <c r="E48" s="349"/>
      <c r="F48" s="349"/>
      <c r="G48" s="349"/>
      <c r="H48" s="349"/>
      <c r="I48" s="349"/>
      <c r="J48" s="349"/>
      <c r="K48" s="349"/>
      <c r="L48" s="349"/>
      <c r="M48" s="349"/>
    </row>
    <row r="49" spans="2:13" ht="5.0999999999999996" customHeight="1"/>
    <row r="50" spans="2:13">
      <c r="B50" s="354" t="s">
        <v>188</v>
      </c>
      <c r="C50" s="372">
        <v>3</v>
      </c>
      <c r="D50" s="349"/>
      <c r="E50" s="349"/>
      <c r="F50" s="349"/>
      <c r="G50" s="349"/>
      <c r="H50" s="349"/>
      <c r="I50" s="349"/>
      <c r="J50" s="349"/>
      <c r="K50" s="349"/>
      <c r="L50" s="349"/>
      <c r="M50" s="349"/>
    </row>
    <row r="51" spans="2:13" ht="5.0999999999999996" customHeight="1">
      <c r="B51" s="349"/>
      <c r="C51" s="349"/>
      <c r="D51" s="349"/>
      <c r="E51" s="349"/>
      <c r="F51" s="349"/>
      <c r="G51" s="349"/>
      <c r="H51" s="349"/>
      <c r="I51" s="349"/>
      <c r="J51" s="349"/>
      <c r="K51" s="349"/>
      <c r="L51" s="349"/>
      <c r="M51" s="349"/>
    </row>
    <row r="52" spans="2:13">
      <c r="B52" s="349" t="str">
        <f>Projection!B$104</f>
        <v>Unleveraged 7 YR IRR</v>
      </c>
      <c r="C52" s="355">
        <f ca="1">IF($C$11=$C$50,Projection!D$104,C52)</f>
        <v>8.5050621857325703E-2</v>
      </c>
      <c r="D52" s="349"/>
      <c r="E52" s="349"/>
      <c r="F52" s="349"/>
      <c r="G52" s="349"/>
      <c r="H52" s="349"/>
      <c r="I52" s="349"/>
      <c r="J52" s="349"/>
      <c r="K52" s="349"/>
      <c r="L52" s="349"/>
      <c r="M52" s="349"/>
    </row>
    <row r="53" spans="2:13">
      <c r="B53" s="349" t="str">
        <f>Projection!B$105</f>
        <v>Leveraged 7 YR IRR</v>
      </c>
      <c r="C53" s="355">
        <f ca="1">IF($C$11=$C$50,Projection!D$105,C53)</f>
        <v>0.1517932463566507</v>
      </c>
      <c r="D53" s="349"/>
      <c r="E53" s="349"/>
      <c r="F53" s="349"/>
      <c r="G53" s="349"/>
      <c r="H53" s="349"/>
      <c r="I53" s="349"/>
      <c r="J53" s="349"/>
      <c r="K53" s="349"/>
      <c r="L53" s="349"/>
      <c r="M53" s="349"/>
    </row>
    <row r="54" spans="2:13">
      <c r="B54" s="349" t="str">
        <f>Projection!B$106</f>
        <v>Capitalization Rate</v>
      </c>
      <c r="C54" s="355">
        <f ca="1">IF($C$11=$C$50,Projection!D$106,C54)</f>
        <v>6.9885880507025225E-2</v>
      </c>
      <c r="D54" s="355">
        <f ca="1">IF($C$11=$C$50,Projection!E$106,D54)</f>
        <v>7.3224552500247383E-2</v>
      </c>
      <c r="E54" s="355">
        <f ca="1">IF($C$11=$C$50,Projection!F$106,E54)</f>
        <v>7.5309986933642964E-2</v>
      </c>
      <c r="F54" s="355">
        <f ca="1">IF($C$11=$C$50,Projection!G$106,F54)</f>
        <v>7.7569286541652238E-2</v>
      </c>
      <c r="G54" s="355">
        <f ca="1">IF($C$11=$C$50,Projection!H$106,G54)</f>
        <v>7.989636513790177E-2</v>
      </c>
      <c r="H54" s="355">
        <f ca="1">IF($C$11=$C$50,Projection!I$106,H54)</f>
        <v>8.2293256092038886E-2</v>
      </c>
      <c r="I54" s="355">
        <f ca="1">IF($C$11=$C$50,Projection!J$106,I54)</f>
        <v>8.4762053774800006E-2</v>
      </c>
      <c r="J54" s="355">
        <f ca="1">IF($C$11=$C$50,Projection!K$106,J54)</f>
        <v>8.7304915388044038E-2</v>
      </c>
      <c r="K54" s="355">
        <f ca="1">IF($C$11=$C$50,Projection!L$106,K54)</f>
        <v>8.9924062849685377E-2</v>
      </c>
      <c r="L54" s="355">
        <f ca="1">IF($C$11=$C$50,Projection!M$106,L54)</f>
        <v>9.2621784735175933E-2</v>
      </c>
      <c r="M54" s="355">
        <f ca="1">IF($C$11=$C$50,Projection!N$106,M54)</f>
        <v>9.54004382772312E-2</v>
      </c>
    </row>
    <row r="55" spans="2:13">
      <c r="B55" s="349" t="str">
        <f>Projection!B$107</f>
        <v>Leveraged Cash Return</v>
      </c>
      <c r="C55" s="355">
        <f ca="1">IF($C$11=$C$50,Projection!D$107,C55)</f>
        <v>0.1185438443394817</v>
      </c>
      <c r="D55" s="355">
        <f ca="1">IF($C$11=$C$50,Projection!E$107,D55)</f>
        <v>0.12790898317039939</v>
      </c>
      <c r="E55" s="355">
        <f ca="1">IF($C$11=$C$50,Projection!F$107,E55)</f>
        <v>0.1337587291266282</v>
      </c>
      <c r="F55" s="355">
        <f ca="1">IF($C$11=$C$50,Projection!G$107,F55)</f>
        <v>0.10995224414432685</v>
      </c>
      <c r="G55" s="355">
        <f ca="1">IF($C$11=$C$50,Projection!H$107,G55)</f>
        <v>0.11647981383927643</v>
      </c>
      <c r="H55" s="355">
        <f ca="1">IF($C$11=$C$50,Projection!I$107,H55)</f>
        <v>0.12320321062507476</v>
      </c>
      <c r="I55" s="355">
        <f ca="1">IF($C$11=$C$50,Projection!J$107,I55)</f>
        <v>0.1301283093144468</v>
      </c>
      <c r="J55" s="355">
        <f ca="1">IF($C$11=$C$50,Projection!K$107,J55)</f>
        <v>0.24489457331849659</v>
      </c>
      <c r="K55" s="355">
        <f ca="1">IF($C$11=$C$50,Projection!L$107,K55)</f>
        <v>0.25224141051805155</v>
      </c>
      <c r="L55" s="355">
        <f ca="1">IF($C$11=$C$50,Projection!M$107,L55)</f>
        <v>0.25980865283359306</v>
      </c>
      <c r="M55" s="355">
        <f ca="1">IF($C$11=$C$50,Projection!N$107,M55)</f>
        <v>0.26760291241860085</v>
      </c>
    </row>
    <row r="56" spans="2:13">
      <c r="B56" s="349" t="str">
        <f>Projection!B$108</f>
        <v>7 YR AVG Cash Return</v>
      </c>
      <c r="C56" s="355">
        <f ca="1">IF($C$11=$C$50,Projection!D$108,C56)</f>
        <v>0.12285359065137633</v>
      </c>
      <c r="D56" s="349"/>
      <c r="E56" s="349"/>
      <c r="F56" s="349"/>
      <c r="G56" s="349"/>
      <c r="H56" s="349"/>
      <c r="I56" s="349"/>
      <c r="J56" s="349"/>
      <c r="K56" s="349"/>
      <c r="L56" s="349"/>
      <c r="M56" s="349"/>
    </row>
  </sheetData>
  <pageMargins left="0.7" right="0.7" top="0.75" bottom="0.75" header="0.3" footer="0.3"/>
  <pageSetup paperSize="5" scale="78" orientation="landscape" r:id="rId1"/>
  <headerFooter>
    <oddHeader>&amp;A</oddHeader>
    <oddFooter>&amp;L&amp;B Confidential&amp;B&amp;C&amp;D&amp;RPage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71"/>
  <sheetViews>
    <sheetView showGridLines="0" zoomScale="85" zoomScaleNormal="85" zoomScaleSheetLayoutView="85" workbookViewId="0"/>
  </sheetViews>
  <sheetFormatPr defaultColWidth="9" defaultRowHeight="12.75"/>
  <cols>
    <col min="1" max="1" width="1.7109375" style="8" customWidth="1"/>
    <col min="2" max="2" width="38.5703125" style="8" bestFit="1" customWidth="1"/>
    <col min="3" max="3" width="18.7109375" style="8" customWidth="1"/>
    <col min="4" max="14" width="14.42578125" style="8" customWidth="1"/>
    <col min="15" max="16" width="9" style="8"/>
    <col min="17" max="18" width="9" style="12"/>
    <col min="19" max="19" width="11.42578125" style="12" bestFit="1" customWidth="1"/>
    <col min="20" max="16384" width="9" style="12"/>
  </cols>
  <sheetData>
    <row r="1" spans="1:16" s="8" customFormat="1" ht="5.0999999999999996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6" ht="18.75" customHeight="1">
      <c r="A2" s="7"/>
      <c r="B2" s="9" t="s">
        <v>39</v>
      </c>
      <c r="C2" s="10"/>
      <c r="D2" s="10"/>
      <c r="E2" s="11"/>
      <c r="F2" s="11"/>
      <c r="G2" s="11"/>
      <c r="H2" s="11"/>
      <c r="I2" s="11"/>
      <c r="J2" s="11"/>
      <c r="K2" s="11"/>
      <c r="L2" s="11"/>
      <c r="M2" s="11"/>
      <c r="N2" s="10"/>
    </row>
    <row r="3" spans="1:16" ht="5.0999999999999996" customHeight="1"/>
    <row r="4" spans="1:16" ht="12.6" customHeight="1">
      <c r="B4" s="22" t="s">
        <v>189</v>
      </c>
      <c r="C4" s="352">
        <f>Description!C11</f>
        <v>1</v>
      </c>
    </row>
    <row r="5" spans="1:16" ht="12.6" customHeight="1">
      <c r="D5" s="343" t="s">
        <v>190</v>
      </c>
      <c r="E5" s="343" t="s">
        <v>191</v>
      </c>
      <c r="F5" s="343" t="s">
        <v>192</v>
      </c>
    </row>
    <row r="6" spans="1:16" s="16" customFormat="1" ht="15">
      <c r="A6" s="13"/>
      <c r="B6" s="338" t="s">
        <v>40</v>
      </c>
      <c r="C6" s="15" t="s">
        <v>7</v>
      </c>
      <c r="D6" s="342">
        <v>1</v>
      </c>
      <c r="E6" s="342">
        <v>2</v>
      </c>
      <c r="F6" s="342">
        <v>3</v>
      </c>
      <c r="G6" s="15" t="s">
        <v>101</v>
      </c>
      <c r="H6" s="15" t="s">
        <v>42</v>
      </c>
      <c r="J6" s="13"/>
      <c r="O6" s="13"/>
      <c r="P6" s="13"/>
    </row>
    <row r="7" spans="1:16" s="13" customFormat="1">
      <c r="B7" s="8" t="s">
        <v>45</v>
      </c>
      <c r="C7" s="437">
        <f>CHOOSE(C4,D7,E7,F7)</f>
        <v>80000000</v>
      </c>
      <c r="D7" s="438">
        <v>80000000</v>
      </c>
      <c r="E7" s="438">
        <v>75000000</v>
      </c>
      <c r="F7" s="438">
        <v>70000000</v>
      </c>
      <c r="G7" s="437">
        <f>C7/Units</f>
        <v>500000</v>
      </c>
      <c r="H7" s="437">
        <f>C7/'Rent Roll Summary'!$F$12</f>
        <v>309.29110478782633</v>
      </c>
      <c r="J7" s="8"/>
    </row>
    <row r="8" spans="1:16" s="13" customFormat="1">
      <c r="B8" s="8" t="s">
        <v>49</v>
      </c>
      <c r="C8" s="437">
        <f>G8*Units</f>
        <v>0</v>
      </c>
      <c r="D8" s="437">
        <f>H8*Units</f>
        <v>0</v>
      </c>
      <c r="E8" s="437">
        <f>I8*Units</f>
        <v>0</v>
      </c>
      <c r="F8" s="437">
        <f>J8*Units</f>
        <v>0</v>
      </c>
      <c r="G8" s="438">
        <v>0</v>
      </c>
      <c r="H8" s="437">
        <f>C8/'Rent Roll Summary'!$F$12</f>
        <v>0</v>
      </c>
      <c r="J8" s="8"/>
    </row>
    <row r="9" spans="1:16" s="13" customFormat="1">
      <c r="B9" s="8" t="str">
        <f>IF(B13="New Loan","Loan Amount","Outstanding Balance")</f>
        <v>Loan Amount</v>
      </c>
      <c r="C9" s="437">
        <f>-C14</f>
        <v>-52000000</v>
      </c>
      <c r="D9" s="437">
        <f t="shared" ref="D9:F9" si="0">-D14</f>
        <v>-52000000</v>
      </c>
      <c r="E9" s="437">
        <f t="shared" si="0"/>
        <v>-48750000</v>
      </c>
      <c r="F9" s="437">
        <f t="shared" si="0"/>
        <v>-45500000</v>
      </c>
      <c r="G9" s="437">
        <f>C9/Units</f>
        <v>-325000</v>
      </c>
      <c r="H9" s="437">
        <f>C9/'Rent Roll Summary'!$F$12</f>
        <v>-201.0392181120871</v>
      </c>
      <c r="J9" s="8"/>
    </row>
    <row r="10" spans="1:16" s="13" customFormat="1">
      <c r="B10" s="8" t="str">
        <f>IF(B13="New Loan","Loan Origination Fee (1%)","Loan Assumption Fee (1%)")</f>
        <v>Loan Origination Fee (1%)</v>
      </c>
      <c r="C10" s="437">
        <f>-C9*0.01</f>
        <v>520000</v>
      </c>
      <c r="D10" s="437">
        <f t="shared" ref="D10:F10" si="1">-D9*0.01</f>
        <v>520000</v>
      </c>
      <c r="E10" s="437">
        <f t="shared" si="1"/>
        <v>487500</v>
      </c>
      <c r="F10" s="437">
        <f t="shared" si="1"/>
        <v>455000</v>
      </c>
      <c r="G10" s="437">
        <f>C10/Units</f>
        <v>3250</v>
      </c>
      <c r="H10" s="437">
        <f>C10/'Rent Roll Summary'!$F$12</f>
        <v>2.0103921811208711</v>
      </c>
      <c r="J10" s="8"/>
    </row>
    <row r="11" spans="1:16" s="13" customFormat="1">
      <c r="B11" s="17" t="s">
        <v>56</v>
      </c>
      <c r="C11" s="439">
        <f>SUM(C7:C10)</f>
        <v>28520000</v>
      </c>
      <c r="D11" s="439">
        <f t="shared" ref="D11:F11" si="2">SUM(D7:D10)</f>
        <v>28520000</v>
      </c>
      <c r="E11" s="439">
        <f t="shared" si="2"/>
        <v>26737500</v>
      </c>
      <c r="F11" s="439">
        <f t="shared" si="2"/>
        <v>24955000</v>
      </c>
      <c r="G11" s="440">
        <f>C11/Units</f>
        <v>178250</v>
      </c>
      <c r="H11" s="440">
        <f>C11/'Rent Roll Summary'!$F$12</f>
        <v>110.26227885686008</v>
      </c>
      <c r="J11" s="8"/>
    </row>
    <row r="12" spans="1:16" s="13" customFormat="1">
      <c r="C12" s="18"/>
      <c r="D12" s="19"/>
      <c r="E12" s="8"/>
      <c r="F12" s="8"/>
      <c r="J12" s="8"/>
    </row>
    <row r="13" spans="1:16" s="13" customFormat="1" ht="15">
      <c r="B13" s="339" t="s">
        <v>43</v>
      </c>
      <c r="C13" s="20"/>
      <c r="D13" s="342">
        <v>1</v>
      </c>
      <c r="E13" s="342">
        <v>2</v>
      </c>
      <c r="F13" s="342">
        <v>3</v>
      </c>
      <c r="G13" s="21"/>
      <c r="H13" s="21"/>
      <c r="I13" s="21"/>
      <c r="J13" s="21"/>
      <c r="K13" s="21"/>
      <c r="L13" s="21"/>
      <c r="M13" s="21"/>
      <c r="N13" s="21"/>
    </row>
    <row r="14" spans="1:16" s="13" customFormat="1">
      <c r="B14" s="8" t="s">
        <v>46</v>
      </c>
      <c r="C14" s="441">
        <f>(C7+C8)*C15</f>
        <v>52000000</v>
      </c>
      <c r="D14" s="441">
        <f>(D7+D8)*D15</f>
        <v>52000000</v>
      </c>
      <c r="E14" s="441">
        <f>(E7+E8)*E15</f>
        <v>48750000</v>
      </c>
      <c r="F14" s="441">
        <f>(F7+F8)*F15</f>
        <v>45500000</v>
      </c>
      <c r="G14" s="8"/>
      <c r="H14" s="8"/>
      <c r="I14" s="8"/>
      <c r="J14" s="8"/>
      <c r="K14" s="22"/>
      <c r="L14" s="22"/>
      <c r="M14" s="23"/>
      <c r="N14" s="8"/>
    </row>
    <row r="15" spans="1:16" s="13" customFormat="1">
      <c r="B15" s="8" t="s">
        <v>50</v>
      </c>
      <c r="C15" s="24">
        <v>0.65</v>
      </c>
      <c r="D15" s="24">
        <v>0.65</v>
      </c>
      <c r="E15" s="24">
        <v>0.65</v>
      </c>
      <c r="F15" s="24">
        <v>0.65</v>
      </c>
      <c r="G15" s="8"/>
      <c r="H15" s="8"/>
      <c r="I15" s="8"/>
      <c r="J15" s="8"/>
      <c r="K15" s="22"/>
      <c r="L15" s="22"/>
      <c r="M15" s="23"/>
      <c r="N15" s="8"/>
    </row>
    <row r="16" spans="1:16" s="13" customFormat="1">
      <c r="B16" s="8" t="s">
        <v>52</v>
      </c>
      <c r="C16" s="25">
        <v>4.2500000000000003E-2</v>
      </c>
      <c r="D16" s="25">
        <v>4.2500000000000003E-2</v>
      </c>
      <c r="E16" s="25">
        <v>4.2500000000000003E-2</v>
      </c>
      <c r="F16" s="25">
        <v>4.2500000000000003E-2</v>
      </c>
      <c r="G16" s="8"/>
      <c r="H16" s="8"/>
      <c r="I16" s="8"/>
      <c r="J16" s="8"/>
      <c r="K16" s="22"/>
      <c r="L16" s="22"/>
      <c r="M16" s="23"/>
      <c r="N16" s="8"/>
    </row>
    <row r="17" spans="2:14" s="13" customFormat="1">
      <c r="B17" s="8" t="s">
        <v>54</v>
      </c>
      <c r="C17" s="26">
        <f>EOMONTH(Description!$C9,0)</f>
        <v>42825</v>
      </c>
      <c r="D17" s="26">
        <f>C17</f>
        <v>42825</v>
      </c>
      <c r="E17" s="26">
        <f t="shared" ref="E17:F17" si="3">D17</f>
        <v>42825</v>
      </c>
      <c r="F17" s="26">
        <f t="shared" si="3"/>
        <v>42825</v>
      </c>
      <c r="G17" s="8"/>
      <c r="H17" s="8"/>
      <c r="I17" s="8"/>
      <c r="J17" s="8"/>
      <c r="K17" s="22"/>
      <c r="L17" s="22"/>
      <c r="M17" s="23"/>
      <c r="N17" s="8"/>
    </row>
    <row r="18" spans="2:14" s="13" customFormat="1">
      <c r="B18" s="8" t="s">
        <v>57</v>
      </c>
      <c r="C18" s="26">
        <f>DATE(YEAR(C17)+C19,MONTH(C17),DAY(EOMONTH(C17,0)))</f>
        <v>45382</v>
      </c>
      <c r="D18" s="26">
        <f t="shared" ref="D18:F18" si="4">DATE(YEAR(D17)+D19,MONTH(D17),DAY(EOMONTH(D17,0)))</f>
        <v>45382</v>
      </c>
      <c r="E18" s="26">
        <f t="shared" si="4"/>
        <v>45382</v>
      </c>
      <c r="F18" s="26">
        <f t="shared" si="4"/>
        <v>45382</v>
      </c>
      <c r="G18" s="8"/>
      <c r="H18" s="8"/>
      <c r="I18" s="8"/>
      <c r="J18" s="8"/>
      <c r="K18" s="22"/>
      <c r="L18" s="22"/>
      <c r="M18" s="23"/>
      <c r="N18" s="8"/>
    </row>
    <row r="19" spans="2:14" s="13" customFormat="1">
      <c r="B19" s="8" t="s">
        <v>59</v>
      </c>
      <c r="C19" s="27">
        <v>7</v>
      </c>
      <c r="D19" s="27">
        <v>7</v>
      </c>
      <c r="E19" s="27">
        <v>7</v>
      </c>
      <c r="F19" s="27">
        <v>7</v>
      </c>
      <c r="G19" s="8"/>
      <c r="H19" s="8"/>
      <c r="I19" s="8"/>
      <c r="J19" s="8"/>
      <c r="K19" s="22"/>
      <c r="L19" s="22"/>
      <c r="M19" s="23"/>
      <c r="N19" s="8"/>
    </row>
    <row r="20" spans="2:14" s="13" customFormat="1">
      <c r="B20" s="8" t="s">
        <v>61</v>
      </c>
      <c r="C20" s="28">
        <v>30</v>
      </c>
      <c r="D20" s="28">
        <v>30</v>
      </c>
      <c r="E20" s="28">
        <v>30</v>
      </c>
      <c r="F20" s="28">
        <v>30</v>
      </c>
      <c r="G20" s="8"/>
      <c r="H20" s="8"/>
      <c r="I20" s="8"/>
      <c r="J20" s="8"/>
      <c r="K20" s="22"/>
      <c r="L20" s="22"/>
      <c r="M20" s="23"/>
      <c r="N20" s="8"/>
    </row>
    <row r="21" spans="2:14" s="13" customFormat="1">
      <c r="B21" s="8" t="s">
        <v>63</v>
      </c>
      <c r="C21" s="29">
        <v>3</v>
      </c>
      <c r="D21" s="29">
        <v>3</v>
      </c>
      <c r="E21" s="29">
        <v>3</v>
      </c>
      <c r="F21" s="29">
        <v>3</v>
      </c>
      <c r="G21" s="8"/>
      <c r="H21" s="8"/>
      <c r="I21" s="8"/>
      <c r="J21" s="8"/>
      <c r="K21" s="22"/>
      <c r="L21" s="22"/>
      <c r="M21" s="23"/>
      <c r="N21" s="8"/>
    </row>
    <row r="22" spans="2:14" s="13" customFormat="1">
      <c r="B22" s="8" t="s">
        <v>184</v>
      </c>
      <c r="C22" s="29">
        <v>4</v>
      </c>
      <c r="D22" s="29">
        <v>4</v>
      </c>
      <c r="E22" s="29">
        <v>4</v>
      </c>
      <c r="F22" s="29">
        <v>4</v>
      </c>
      <c r="G22" s="8"/>
      <c r="H22" s="8"/>
      <c r="I22" s="8"/>
      <c r="J22" s="8"/>
      <c r="K22" s="22"/>
      <c r="L22" s="22"/>
      <c r="M22" s="23"/>
      <c r="N22" s="8"/>
    </row>
    <row r="23" spans="2:14" s="13" customFormat="1">
      <c r="B23" s="8" t="s">
        <v>64</v>
      </c>
      <c r="C23" s="30" t="str">
        <f>"Years "&amp;TEXT(C22,"0")&amp;"-"&amp;TEXT(C19,"0")&amp;""</f>
        <v>Years 4-7</v>
      </c>
      <c r="D23" s="30" t="str">
        <f>"Years "&amp;TEXT(D22,"0")&amp;"-"&amp;TEXT(D19,"0")&amp;""</f>
        <v>Years 4-7</v>
      </c>
      <c r="E23" s="30" t="str">
        <f>"Years "&amp;TEXT(E22,"0")&amp;"-"&amp;TEXT(E19,"0")&amp;""</f>
        <v>Years 4-7</v>
      </c>
      <c r="F23" s="30" t="str">
        <f>"Years "&amp;TEXT(F22,"0")&amp;"-"&amp;TEXT(F19,"0")&amp;""</f>
        <v>Years 4-7</v>
      </c>
      <c r="G23" s="8"/>
      <c r="H23" s="8"/>
      <c r="I23" s="8"/>
      <c r="J23" s="8"/>
      <c r="K23" s="22"/>
      <c r="L23" s="22"/>
      <c r="M23" s="23"/>
      <c r="N23" s="8"/>
    </row>
    <row r="24" spans="2:14" s="13" customFormat="1">
      <c r="B24" s="8" t="s">
        <v>65</v>
      </c>
      <c r="C24" s="31">
        <f>'Amort. Schedule'!C10</f>
        <v>3069704.9203359778</v>
      </c>
      <c r="D24" s="31"/>
      <c r="E24" s="31"/>
      <c r="F24" s="31"/>
      <c r="G24" s="8"/>
      <c r="H24" s="8"/>
      <c r="I24" s="8"/>
      <c r="J24" s="8"/>
      <c r="K24" s="22"/>
      <c r="L24" s="22"/>
      <c r="M24" s="23"/>
      <c r="N24" s="8"/>
    </row>
    <row r="25" spans="2:14" s="13" customFormat="1">
      <c r="B25" s="8" t="s">
        <v>66</v>
      </c>
      <c r="C25" s="33">
        <f>'Amort. Schedule'!C10/'Amort. Schedule'!C4</f>
        <v>5.9032786929538034E-2</v>
      </c>
      <c r="D25" s="33"/>
      <c r="E25" s="33"/>
      <c r="F25" s="33"/>
      <c r="G25" s="8"/>
      <c r="H25" s="8"/>
      <c r="I25" s="8"/>
      <c r="J25" s="8"/>
      <c r="K25" s="22"/>
      <c r="L25" s="22"/>
      <c r="M25" s="23"/>
      <c r="N25" s="8"/>
    </row>
    <row r="26" spans="2:14" s="13" customFormat="1">
      <c r="C26" s="8"/>
      <c r="D26" s="8"/>
      <c r="E26" s="8"/>
      <c r="F26" s="8"/>
      <c r="G26" s="8"/>
      <c r="H26" s="8"/>
      <c r="I26" s="8"/>
      <c r="J26" s="8"/>
      <c r="K26" s="22"/>
      <c r="L26" s="22"/>
      <c r="M26" s="23"/>
      <c r="N26" s="8"/>
    </row>
    <row r="27" spans="2:14" s="13" customFormat="1" ht="15">
      <c r="B27" s="338" t="s">
        <v>44</v>
      </c>
      <c r="C27" s="14"/>
      <c r="D27" s="15"/>
      <c r="E27" s="15"/>
      <c r="F27" s="15"/>
      <c r="G27" s="15" t="s">
        <v>101</v>
      </c>
      <c r="H27" s="15"/>
      <c r="I27" s="15"/>
      <c r="J27" s="15"/>
      <c r="K27" s="15"/>
      <c r="L27" s="15"/>
      <c r="M27" s="15"/>
      <c r="N27" s="15"/>
    </row>
    <row r="28" spans="2:14" s="13" customFormat="1">
      <c r="B28" s="8" t="s">
        <v>47</v>
      </c>
      <c r="C28" s="344">
        <f>Description!C19</f>
        <v>7</v>
      </c>
      <c r="E28" s="32"/>
      <c r="F28" s="8"/>
      <c r="G28" s="8"/>
      <c r="H28" s="8"/>
      <c r="I28" s="8"/>
      <c r="J28" s="8"/>
      <c r="K28" s="22"/>
      <c r="L28" s="22"/>
      <c r="M28" s="23"/>
      <c r="N28" s="8"/>
    </row>
    <row r="29" spans="2:14" s="13" customFormat="1">
      <c r="B29" s="8" t="s">
        <v>185</v>
      </c>
      <c r="C29" s="344">
        <f>C28+1</f>
        <v>8</v>
      </c>
      <c r="E29" s="32"/>
      <c r="F29" s="8"/>
      <c r="G29" s="8"/>
      <c r="H29" s="8"/>
      <c r="I29" s="8"/>
      <c r="J29" s="8"/>
      <c r="K29" s="22"/>
      <c r="L29" s="22"/>
      <c r="M29" s="23"/>
      <c r="N29" s="8"/>
    </row>
    <row r="30" spans="2:14" s="13" customFormat="1">
      <c r="B30" s="8" t="s">
        <v>51</v>
      </c>
      <c r="C30" s="346">
        <v>0.08</v>
      </c>
      <c r="E30" s="32"/>
      <c r="F30" s="8"/>
      <c r="G30" s="441"/>
      <c r="H30" s="8"/>
      <c r="I30" s="8"/>
      <c r="J30" s="8"/>
      <c r="K30" s="22"/>
      <c r="L30" s="22"/>
      <c r="M30" s="23"/>
      <c r="N30" s="8"/>
    </row>
    <row r="31" spans="2:14" s="13" customFormat="1">
      <c r="B31" s="8" t="s">
        <v>53</v>
      </c>
      <c r="C31" s="437">
        <f>LOOKUP(C29,D38:N39)</f>
        <v>76391800.96453853</v>
      </c>
      <c r="F31" s="8"/>
      <c r="G31" s="437">
        <f>C31/Units</f>
        <v>477448.75602836581</v>
      </c>
      <c r="H31" s="8"/>
      <c r="I31" s="8"/>
      <c r="J31" s="8"/>
      <c r="K31" s="22"/>
      <c r="L31" s="22"/>
      <c r="M31" s="23"/>
      <c r="N31" s="8"/>
    </row>
    <row r="32" spans="2:14" s="13" customFormat="1">
      <c r="B32" s="8" t="s">
        <v>194</v>
      </c>
      <c r="C32" s="346">
        <v>1.4999999999999999E-2</v>
      </c>
      <c r="F32" s="8"/>
      <c r="G32" s="437"/>
      <c r="H32" s="8"/>
      <c r="I32" s="8"/>
      <c r="J32" s="8"/>
      <c r="K32" s="22"/>
      <c r="L32" s="22"/>
      <c r="M32" s="23"/>
      <c r="N32" s="8"/>
    </row>
    <row r="33" spans="1:14" s="13" customFormat="1">
      <c r="B33" s="8" t="s">
        <v>55</v>
      </c>
      <c r="C33" s="437">
        <f>-C32*C31</f>
        <v>-1145877.0144680778</v>
      </c>
      <c r="F33" s="8"/>
      <c r="G33" s="437">
        <f>C33/Units</f>
        <v>-7161.7313404254865</v>
      </c>
      <c r="H33" s="8"/>
      <c r="I33" s="8"/>
      <c r="J33" s="8"/>
      <c r="K33" s="22"/>
      <c r="L33" s="22"/>
      <c r="M33" s="23"/>
      <c r="N33" s="8"/>
    </row>
    <row r="34" spans="1:14" s="13" customFormat="1">
      <c r="B34" s="17" t="s">
        <v>58</v>
      </c>
      <c r="C34" s="439">
        <f>SUM(C31:C33)</f>
        <v>75245923.965070456</v>
      </c>
      <c r="F34" s="8"/>
      <c r="G34" s="439">
        <f>C34/Units</f>
        <v>470287.02478169033</v>
      </c>
      <c r="H34" s="8"/>
      <c r="I34" s="8"/>
      <c r="J34" s="8"/>
      <c r="K34" s="22"/>
      <c r="L34" s="22"/>
      <c r="M34" s="23"/>
      <c r="N34" s="8"/>
    </row>
    <row r="35" spans="1:14" s="13" customFormat="1">
      <c r="B35" s="8" t="s">
        <v>60</v>
      </c>
      <c r="C35" s="437">
        <f>-VLOOKUP($C$28,'Amort. Schedule'!B13:F22,4,FALSE)</f>
        <v>-48258788.339103654</v>
      </c>
      <c r="F35" s="8"/>
      <c r="G35" s="437">
        <f>C35/Units</f>
        <v>-301617.42711939785</v>
      </c>
      <c r="H35" s="8"/>
      <c r="I35" s="8"/>
      <c r="J35" s="8"/>
      <c r="K35" s="22"/>
      <c r="L35" s="22"/>
      <c r="M35" s="23"/>
      <c r="N35" s="8"/>
    </row>
    <row r="36" spans="1:14" s="13" customFormat="1">
      <c r="B36" s="17" t="s">
        <v>62</v>
      </c>
      <c r="C36" s="439">
        <f>SUM(C34:C35)</f>
        <v>26987135.625966802</v>
      </c>
      <c r="F36" s="8"/>
      <c r="G36" s="439">
        <f>C36/Units</f>
        <v>168669.59766229251</v>
      </c>
      <c r="H36" s="8"/>
      <c r="I36" s="8"/>
      <c r="J36" s="8"/>
      <c r="K36" s="22"/>
      <c r="L36" s="22"/>
      <c r="M36" s="23"/>
      <c r="N36" s="8"/>
    </row>
    <row r="37" spans="1:14" s="13" customFormat="1">
      <c r="B37" s="22"/>
      <c r="C37" s="22"/>
      <c r="D37" s="23"/>
      <c r="E37" s="8"/>
      <c r="F37" s="8"/>
      <c r="G37" s="8"/>
      <c r="H37" s="8"/>
      <c r="I37" s="8"/>
      <c r="J37" s="8"/>
      <c r="K37" s="22"/>
      <c r="L37" s="22"/>
      <c r="M37" s="23"/>
      <c r="N37" s="8"/>
    </row>
    <row r="38" spans="1:14" s="13" customFormat="1">
      <c r="B38" s="34"/>
      <c r="C38" s="35"/>
      <c r="D38" s="36">
        <v>1</v>
      </c>
      <c r="E38" s="36">
        <v>2</v>
      </c>
      <c r="F38" s="36">
        <v>3</v>
      </c>
      <c r="G38" s="36">
        <v>4</v>
      </c>
      <c r="H38" s="36">
        <v>5</v>
      </c>
      <c r="I38" s="36">
        <v>6</v>
      </c>
      <c r="J38" s="36">
        <v>7</v>
      </c>
      <c r="K38" s="36">
        <v>8</v>
      </c>
      <c r="L38" s="36">
        <v>9</v>
      </c>
      <c r="M38" s="36">
        <v>10</v>
      </c>
      <c r="N38" s="36">
        <v>11</v>
      </c>
    </row>
    <row r="39" spans="1:14" s="13" customFormat="1">
      <c r="B39" s="13" t="s">
        <v>208</v>
      </c>
      <c r="C39" s="8"/>
      <c r="D39" s="420">
        <f t="shared" ref="D39:N39" si="5">D74/$C$30</f>
        <v>61150145.443647072</v>
      </c>
      <c r="E39" s="420">
        <f t="shared" si="5"/>
        <v>64071483.437716462</v>
      </c>
      <c r="F39" s="420">
        <f t="shared" si="5"/>
        <v>65896238.566937588</v>
      </c>
      <c r="G39" s="420">
        <f t="shared" si="5"/>
        <v>67873125.723945707</v>
      </c>
      <c r="H39" s="420">
        <f t="shared" si="5"/>
        <v>69909319.495664045</v>
      </c>
      <c r="I39" s="420">
        <f t="shared" si="5"/>
        <v>72006599.080534026</v>
      </c>
      <c r="J39" s="420">
        <f t="shared" si="5"/>
        <v>74166797.05295001</v>
      </c>
      <c r="K39" s="420">
        <f t="shared" si="5"/>
        <v>76391800.96453853</v>
      </c>
      <c r="L39" s="420">
        <f t="shared" si="5"/>
        <v>78683554.993474707</v>
      </c>
      <c r="M39" s="420">
        <f t="shared" si="5"/>
        <v>81044061.643278942</v>
      </c>
      <c r="N39" s="420">
        <f t="shared" si="5"/>
        <v>83475383.492577299</v>
      </c>
    </row>
    <row r="40" spans="1:14" s="13" customFormat="1" ht="5.0999999999999996" customHeight="1">
      <c r="C40" s="8"/>
      <c r="D40" s="8"/>
      <c r="E40" s="8"/>
      <c r="F40" s="8"/>
      <c r="G40" s="8"/>
      <c r="H40" s="8"/>
      <c r="I40" s="8"/>
      <c r="J40" s="8"/>
      <c r="K40" s="22"/>
      <c r="L40" s="22"/>
      <c r="M40" s="23"/>
      <c r="N40" s="8"/>
    </row>
    <row r="41" spans="1:14">
      <c r="B41" s="38"/>
      <c r="C41" s="38"/>
      <c r="D41" s="39">
        <v>1</v>
      </c>
      <c r="E41" s="40">
        <f>D41+1</f>
        <v>2</v>
      </c>
      <c r="F41" s="40">
        <f t="shared" ref="F41:N42" si="6">E41+1</f>
        <v>3</v>
      </c>
      <c r="G41" s="40">
        <f t="shared" si="6"/>
        <v>4</v>
      </c>
      <c r="H41" s="40">
        <f t="shared" si="6"/>
        <v>5</v>
      </c>
      <c r="I41" s="40">
        <f t="shared" si="6"/>
        <v>6</v>
      </c>
      <c r="J41" s="40">
        <f t="shared" si="6"/>
        <v>7</v>
      </c>
      <c r="K41" s="40">
        <f t="shared" si="6"/>
        <v>8</v>
      </c>
      <c r="L41" s="40">
        <f t="shared" si="6"/>
        <v>9</v>
      </c>
      <c r="M41" s="40">
        <f t="shared" si="6"/>
        <v>10</v>
      </c>
      <c r="N41" s="40">
        <f t="shared" si="6"/>
        <v>11</v>
      </c>
    </row>
    <row r="42" spans="1:14">
      <c r="B42" s="41"/>
      <c r="C42" s="38"/>
      <c r="D42" s="42">
        <f>YEAR(C17)</f>
        <v>2017</v>
      </c>
      <c r="E42" s="43">
        <f>D42+1</f>
        <v>2018</v>
      </c>
      <c r="F42" s="43">
        <f t="shared" si="6"/>
        <v>2019</v>
      </c>
      <c r="G42" s="43">
        <f t="shared" si="6"/>
        <v>2020</v>
      </c>
      <c r="H42" s="43">
        <f t="shared" si="6"/>
        <v>2021</v>
      </c>
      <c r="I42" s="43">
        <f t="shared" si="6"/>
        <v>2022</v>
      </c>
      <c r="J42" s="43">
        <f t="shared" si="6"/>
        <v>2023</v>
      </c>
      <c r="K42" s="43">
        <f t="shared" si="6"/>
        <v>2024</v>
      </c>
      <c r="L42" s="43">
        <f t="shared" si="6"/>
        <v>2025</v>
      </c>
      <c r="M42" s="43">
        <f t="shared" si="6"/>
        <v>2026</v>
      </c>
      <c r="N42" s="43">
        <f t="shared" si="6"/>
        <v>2027</v>
      </c>
    </row>
    <row r="43" spans="1:14" s="16" customFormat="1">
      <c r="A43" s="13"/>
      <c r="B43" s="22" t="s">
        <v>36</v>
      </c>
      <c r="C43" s="45"/>
      <c r="D43" s="46"/>
      <c r="E43" s="47"/>
      <c r="F43" s="47"/>
      <c r="G43" s="47"/>
      <c r="H43" s="47"/>
      <c r="I43" s="47"/>
      <c r="J43" s="47"/>
      <c r="K43" s="47"/>
      <c r="L43" s="47"/>
      <c r="M43" s="47"/>
      <c r="N43" s="47"/>
    </row>
    <row r="44" spans="1:14" s="16" customFormat="1">
      <c r="A44" s="13"/>
      <c r="B44" s="52" t="s">
        <v>9</v>
      </c>
      <c r="C44" s="45"/>
      <c r="D44" s="48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spans="1:14" s="16" customFormat="1">
      <c r="A45" s="13"/>
      <c r="B45" s="51" t="s">
        <v>67</v>
      </c>
      <c r="C45" s="45"/>
      <c r="D45" s="419">
        <f>'Trailing-12 &amp; Pro Forma'!AL9</f>
        <v>9558520.3200000003</v>
      </c>
      <c r="E45" s="420">
        <f t="shared" ref="E45:N45" si="7">(D45*E84)+D45</f>
        <v>9940861.1327999998</v>
      </c>
      <c r="F45" s="420">
        <f t="shared" si="7"/>
        <v>10338495.578112001</v>
      </c>
      <c r="G45" s="420">
        <f t="shared" si="7"/>
        <v>10648650.445455361</v>
      </c>
      <c r="H45" s="420">
        <f t="shared" si="7"/>
        <v>10968109.958819022</v>
      </c>
      <c r="I45" s="420">
        <f t="shared" si="7"/>
        <v>11297153.257583594</v>
      </c>
      <c r="J45" s="420">
        <f t="shared" si="7"/>
        <v>11636067.855311101</v>
      </c>
      <c r="K45" s="420">
        <f t="shared" si="7"/>
        <v>11985149.890970435</v>
      </c>
      <c r="L45" s="420">
        <f t="shared" si="7"/>
        <v>12344704.387699548</v>
      </c>
      <c r="M45" s="420">
        <f t="shared" si="7"/>
        <v>12715045.519330535</v>
      </c>
      <c r="N45" s="420">
        <f t="shared" si="7"/>
        <v>13096496.884910451</v>
      </c>
    </row>
    <row r="46" spans="1:14" s="16" customFormat="1">
      <c r="A46" s="13"/>
      <c r="B46" s="51" t="s">
        <v>68</v>
      </c>
      <c r="C46" s="45"/>
      <c r="D46" s="419">
        <f>'Trailing-12 &amp; Pro Forma'!AL10</f>
        <v>0</v>
      </c>
      <c r="E46" s="420">
        <f t="shared" ref="E46:N46" si="8">E45*E85</f>
        <v>0</v>
      </c>
      <c r="F46" s="420">
        <f t="shared" si="8"/>
        <v>0</v>
      </c>
      <c r="G46" s="420">
        <f t="shared" si="8"/>
        <v>0</v>
      </c>
      <c r="H46" s="420">
        <f t="shared" si="8"/>
        <v>0</v>
      </c>
      <c r="I46" s="420">
        <f t="shared" si="8"/>
        <v>0</v>
      </c>
      <c r="J46" s="420">
        <f t="shared" si="8"/>
        <v>0</v>
      </c>
      <c r="K46" s="420">
        <f t="shared" si="8"/>
        <v>0</v>
      </c>
      <c r="L46" s="420">
        <f t="shared" si="8"/>
        <v>0</v>
      </c>
      <c r="M46" s="420">
        <f t="shared" si="8"/>
        <v>0</v>
      </c>
      <c r="N46" s="420">
        <f t="shared" si="8"/>
        <v>0</v>
      </c>
    </row>
    <row r="47" spans="1:14" s="16" customFormat="1">
      <c r="A47" s="13"/>
      <c r="B47" s="409" t="s">
        <v>69</v>
      </c>
      <c r="C47" s="399"/>
      <c r="D47" s="421">
        <f t="shared" ref="D47:N47" si="9">SUM(D45:D46)</f>
        <v>9558520.3200000003</v>
      </c>
      <c r="E47" s="422">
        <f t="shared" si="9"/>
        <v>9940861.1327999998</v>
      </c>
      <c r="F47" s="422">
        <f t="shared" si="9"/>
        <v>10338495.578112001</v>
      </c>
      <c r="G47" s="422">
        <f t="shared" si="9"/>
        <v>10648650.445455361</v>
      </c>
      <c r="H47" s="422">
        <f t="shared" si="9"/>
        <v>10968109.958819022</v>
      </c>
      <c r="I47" s="422">
        <f t="shared" si="9"/>
        <v>11297153.257583594</v>
      </c>
      <c r="J47" s="422">
        <f t="shared" si="9"/>
        <v>11636067.855311101</v>
      </c>
      <c r="K47" s="422">
        <f t="shared" si="9"/>
        <v>11985149.890970435</v>
      </c>
      <c r="L47" s="422">
        <f t="shared" si="9"/>
        <v>12344704.387699548</v>
      </c>
      <c r="M47" s="422">
        <f t="shared" si="9"/>
        <v>12715045.519330535</v>
      </c>
      <c r="N47" s="422">
        <f t="shared" si="9"/>
        <v>13096496.884910451</v>
      </c>
    </row>
    <row r="48" spans="1:14" s="16" customFormat="1" ht="5.0999999999999996" customHeight="1">
      <c r="A48" s="13"/>
      <c r="B48" s="8" t="s">
        <v>180</v>
      </c>
      <c r="C48" s="45"/>
      <c r="D48" s="419"/>
      <c r="E48" s="420"/>
      <c r="F48" s="420"/>
      <c r="G48" s="420"/>
      <c r="H48" s="420"/>
      <c r="I48" s="420"/>
      <c r="J48" s="420"/>
      <c r="K48" s="420"/>
      <c r="L48" s="420"/>
      <c r="M48" s="420"/>
      <c r="N48" s="420"/>
    </row>
    <row r="49" spans="1:14" s="16" customFormat="1">
      <c r="A49" s="13"/>
      <c r="B49" s="51" t="s">
        <v>11</v>
      </c>
      <c r="C49" s="45"/>
      <c r="D49" s="419">
        <f>'Trailing-12 &amp; Pro Forma'!AL14</f>
        <v>-382340.81280000001</v>
      </c>
      <c r="E49" s="420">
        <f t="shared" ref="E49:N49" si="10">E47*E86</f>
        <v>-397634.445312</v>
      </c>
      <c r="F49" s="420">
        <f t="shared" si="10"/>
        <v>-516924.77890560008</v>
      </c>
      <c r="G49" s="420">
        <f t="shared" si="10"/>
        <v>-532432.52227276808</v>
      </c>
      <c r="H49" s="420">
        <f t="shared" si="10"/>
        <v>-548405.49794095114</v>
      </c>
      <c r="I49" s="420">
        <f t="shared" si="10"/>
        <v>-564857.6628791797</v>
      </c>
      <c r="J49" s="420">
        <f t="shared" si="10"/>
        <v>-581803.39276555507</v>
      </c>
      <c r="K49" s="420">
        <f t="shared" si="10"/>
        <v>-599257.49454852182</v>
      </c>
      <c r="L49" s="420">
        <f t="shared" si="10"/>
        <v>-617235.21938497748</v>
      </c>
      <c r="M49" s="420">
        <f t="shared" si="10"/>
        <v>-635752.27596652682</v>
      </c>
      <c r="N49" s="420">
        <f t="shared" si="10"/>
        <v>-654824.84424552263</v>
      </c>
    </row>
    <row r="50" spans="1:14" s="16" customFormat="1">
      <c r="A50" s="13"/>
      <c r="B50" s="51" t="s">
        <v>182</v>
      </c>
      <c r="C50" s="45"/>
      <c r="D50" s="419">
        <f>'Trailing-12 &amp; Pro Forma'!AL15</f>
        <v>-4779.2601599999998</v>
      </c>
      <c r="E50" s="420">
        <f t="shared" ref="E50:N50" si="11">E47*E88</f>
        <v>-4970.4305664000003</v>
      </c>
      <c r="F50" s="420">
        <f t="shared" si="11"/>
        <v>-5169.2477890560003</v>
      </c>
      <c r="G50" s="420">
        <f t="shared" si="11"/>
        <v>-5324.3252227276807</v>
      </c>
      <c r="H50" s="420">
        <f t="shared" si="11"/>
        <v>-5484.0549794095114</v>
      </c>
      <c r="I50" s="420">
        <f t="shared" si="11"/>
        <v>-5648.5766287917968</v>
      </c>
      <c r="J50" s="420">
        <f t="shared" si="11"/>
        <v>-5818.0339276555505</v>
      </c>
      <c r="K50" s="420">
        <f t="shared" si="11"/>
        <v>-5992.5749454852175</v>
      </c>
      <c r="L50" s="420">
        <f t="shared" si="11"/>
        <v>-6172.3521938497743</v>
      </c>
      <c r="M50" s="420">
        <f t="shared" si="11"/>
        <v>-6357.5227596652676</v>
      </c>
      <c r="N50" s="420">
        <f t="shared" si="11"/>
        <v>-6548.2484424552258</v>
      </c>
    </row>
    <row r="51" spans="1:14" s="16" customFormat="1">
      <c r="A51" s="13"/>
      <c r="B51" s="51" t="s">
        <v>183</v>
      </c>
      <c r="C51" s="45"/>
      <c r="D51" s="419">
        <f>'Trailing-12 &amp; Pro Forma'!AL16</f>
        <v>-19117.040639999999</v>
      </c>
      <c r="E51" s="420">
        <f t="shared" ref="E51:N51" si="12">E47*E89</f>
        <v>-19881.722265600001</v>
      </c>
      <c r="F51" s="420">
        <f t="shared" si="12"/>
        <v>-20676.991156224001</v>
      </c>
      <c r="G51" s="420">
        <f t="shared" si="12"/>
        <v>-21297.300890910723</v>
      </c>
      <c r="H51" s="420">
        <f t="shared" si="12"/>
        <v>-21936.219917638045</v>
      </c>
      <c r="I51" s="420">
        <f t="shared" si="12"/>
        <v>-22594.306515167187</v>
      </c>
      <c r="J51" s="420">
        <f t="shared" si="12"/>
        <v>-23272.135710622202</v>
      </c>
      <c r="K51" s="420">
        <f t="shared" si="12"/>
        <v>-23970.29978194087</v>
      </c>
      <c r="L51" s="420">
        <f t="shared" si="12"/>
        <v>-24689.408775399097</v>
      </c>
      <c r="M51" s="420">
        <f t="shared" si="12"/>
        <v>-25430.09103866107</v>
      </c>
      <c r="N51" s="420">
        <f t="shared" si="12"/>
        <v>-26192.993769820903</v>
      </c>
    </row>
    <row r="52" spans="1:14" s="408" customFormat="1">
      <c r="A52" s="44"/>
      <c r="B52" s="409" t="s">
        <v>9</v>
      </c>
      <c r="C52" s="407"/>
      <c r="D52" s="422">
        <f t="shared" ref="D52:N52" si="13">SUM(D47:D51)</f>
        <v>9152283.2064000014</v>
      </c>
      <c r="E52" s="422">
        <f t="shared" si="13"/>
        <v>9518374.5346559994</v>
      </c>
      <c r="F52" s="422">
        <f t="shared" si="13"/>
        <v>9795724.560261121</v>
      </c>
      <c r="G52" s="422">
        <f t="shared" si="13"/>
        <v>10089596.297068955</v>
      </c>
      <c r="H52" s="422">
        <f t="shared" si="13"/>
        <v>10392284.185981022</v>
      </c>
      <c r="I52" s="422">
        <f t="shared" si="13"/>
        <v>10704052.711560456</v>
      </c>
      <c r="J52" s="422">
        <f t="shared" si="13"/>
        <v>11025174.292907268</v>
      </c>
      <c r="K52" s="422">
        <f t="shared" si="13"/>
        <v>11355929.521694487</v>
      </c>
      <c r="L52" s="422">
        <f t="shared" si="13"/>
        <v>11696607.407345323</v>
      </c>
      <c r="M52" s="422">
        <f t="shared" si="13"/>
        <v>12047505.629565682</v>
      </c>
      <c r="N52" s="423">
        <f t="shared" si="13"/>
        <v>12408930.798452651</v>
      </c>
    </row>
    <row r="53" spans="1:14" s="16" customFormat="1" ht="5.0999999999999996" customHeight="1">
      <c r="A53" s="13"/>
      <c r="B53" s="8" t="s">
        <v>180</v>
      </c>
      <c r="C53" s="53"/>
      <c r="D53" s="419"/>
      <c r="E53" s="420"/>
      <c r="F53" s="420"/>
      <c r="G53" s="420"/>
      <c r="H53" s="420"/>
      <c r="I53" s="420"/>
      <c r="J53" s="420"/>
      <c r="K53" s="420"/>
      <c r="L53" s="420"/>
      <c r="M53" s="420"/>
      <c r="N53" s="420"/>
    </row>
    <row r="54" spans="1:14" s="16" customFormat="1">
      <c r="A54" s="13"/>
      <c r="B54" s="52" t="s">
        <v>15</v>
      </c>
      <c r="C54" s="53"/>
      <c r="D54" s="419">
        <f>'Trailing-12 &amp; Pro Forma'!AL26</f>
        <v>565600</v>
      </c>
      <c r="E54" s="420">
        <f t="shared" ref="E54:N54" si="14">(D54*E90)+D54</f>
        <v>582568</v>
      </c>
      <c r="F54" s="420">
        <f t="shared" si="14"/>
        <v>600045.04</v>
      </c>
      <c r="G54" s="420">
        <f t="shared" si="14"/>
        <v>618046.39120000007</v>
      </c>
      <c r="H54" s="420">
        <f t="shared" si="14"/>
        <v>636587.78293600003</v>
      </c>
      <c r="I54" s="420">
        <f t="shared" si="14"/>
        <v>655685.41642408003</v>
      </c>
      <c r="J54" s="420">
        <f t="shared" si="14"/>
        <v>675355.97891680244</v>
      </c>
      <c r="K54" s="420">
        <f t="shared" si="14"/>
        <v>695616.65828430653</v>
      </c>
      <c r="L54" s="420">
        <f t="shared" si="14"/>
        <v>716485.15803283569</v>
      </c>
      <c r="M54" s="420">
        <f t="shared" si="14"/>
        <v>737979.71277382073</v>
      </c>
      <c r="N54" s="420">
        <f t="shared" si="14"/>
        <v>760119.10415703536</v>
      </c>
    </row>
    <row r="55" spans="1:14" s="16" customFormat="1" ht="5.0999999999999996" customHeight="1">
      <c r="A55" s="13"/>
      <c r="B55" s="8" t="s">
        <v>180</v>
      </c>
      <c r="C55" s="53"/>
      <c r="D55" s="419"/>
      <c r="E55" s="420"/>
      <c r="F55" s="420"/>
      <c r="G55" s="420"/>
      <c r="H55" s="420"/>
      <c r="I55" s="420"/>
      <c r="J55" s="420"/>
      <c r="K55" s="420"/>
      <c r="L55" s="420"/>
      <c r="M55" s="420"/>
      <c r="N55" s="420"/>
    </row>
    <row r="56" spans="1:14" s="16" customFormat="1">
      <c r="A56" s="13"/>
      <c r="B56" s="401" t="s">
        <v>204</v>
      </c>
      <c r="C56" s="402"/>
      <c r="D56" s="424">
        <f>SUM(D52:D54)</f>
        <v>9717883.2064000014</v>
      </c>
      <c r="E56" s="425">
        <f t="shared" ref="E56:N56" si="15">SUM(E52:E54)</f>
        <v>10100942.534655999</v>
      </c>
      <c r="F56" s="425">
        <f t="shared" si="15"/>
        <v>10395769.600261122</v>
      </c>
      <c r="G56" s="425">
        <f t="shared" si="15"/>
        <v>10707642.688268956</v>
      </c>
      <c r="H56" s="425">
        <f t="shared" si="15"/>
        <v>11028871.968917022</v>
      </c>
      <c r="I56" s="425">
        <f t="shared" si="15"/>
        <v>11359738.127984537</v>
      </c>
      <c r="J56" s="425">
        <f t="shared" si="15"/>
        <v>11700530.271824069</v>
      </c>
      <c r="K56" s="425">
        <f t="shared" si="15"/>
        <v>12051546.179978793</v>
      </c>
      <c r="L56" s="425">
        <f t="shared" si="15"/>
        <v>12413092.565378159</v>
      </c>
      <c r="M56" s="425">
        <f t="shared" si="15"/>
        <v>12785485.342339503</v>
      </c>
      <c r="N56" s="425">
        <f t="shared" si="15"/>
        <v>13169049.902609687</v>
      </c>
    </row>
    <row r="57" spans="1:14" s="59" customFormat="1">
      <c r="A57" s="13"/>
      <c r="B57" s="55" t="s">
        <v>207</v>
      </c>
      <c r="C57" s="56"/>
      <c r="D57" s="57"/>
      <c r="E57" s="58">
        <f>(E56-D56)/D56</f>
        <v>3.9417980245298981E-2</v>
      </c>
      <c r="F57" s="58">
        <f t="shared" ref="F57:N57" si="16">(F56-E56)/E56</f>
        <v>2.918807473595466E-2</v>
      </c>
      <c r="G57" s="58">
        <f t="shared" si="16"/>
        <v>3.0000000000000013E-2</v>
      </c>
      <c r="H57" s="58">
        <f t="shared" si="16"/>
        <v>2.9999999999999725E-2</v>
      </c>
      <c r="I57" s="58">
        <f t="shared" si="16"/>
        <v>3.0000000000000422E-2</v>
      </c>
      <c r="J57" s="58">
        <f t="shared" si="16"/>
        <v>2.9999999999999683E-2</v>
      </c>
      <c r="K57" s="58">
        <f t="shared" si="16"/>
        <v>3.0000000000000179E-2</v>
      </c>
      <c r="L57" s="58">
        <f t="shared" si="16"/>
        <v>3.0000000000000165E-2</v>
      </c>
      <c r="M57" s="58">
        <f t="shared" si="16"/>
        <v>2.9999999999999884E-2</v>
      </c>
      <c r="N57" s="58">
        <f t="shared" si="16"/>
        <v>2.9999999999999968E-2</v>
      </c>
    </row>
    <row r="58" spans="1:14" s="59" customFormat="1" ht="5.0999999999999996" customHeight="1">
      <c r="A58" s="13"/>
      <c r="B58" s="60"/>
      <c r="C58" s="56"/>
      <c r="D58" s="57"/>
      <c r="E58" s="58"/>
      <c r="F58" s="58"/>
      <c r="G58" s="58"/>
      <c r="H58" s="58"/>
      <c r="I58" s="58"/>
      <c r="J58" s="58"/>
      <c r="K58" s="58"/>
      <c r="L58" s="58"/>
      <c r="M58" s="58"/>
      <c r="N58" s="58"/>
    </row>
    <row r="59" spans="1:14" s="16" customFormat="1">
      <c r="A59" s="13"/>
      <c r="B59" s="22" t="s">
        <v>70</v>
      </c>
      <c r="C59" s="61"/>
      <c r="D59" s="50"/>
      <c r="E59" s="37"/>
      <c r="F59" s="37"/>
      <c r="G59" s="37"/>
      <c r="H59" s="37"/>
      <c r="I59" s="37"/>
      <c r="J59" s="37"/>
      <c r="K59" s="37"/>
      <c r="L59" s="37"/>
      <c r="M59" s="37"/>
      <c r="N59" s="37"/>
    </row>
    <row r="60" spans="1:14" s="16" customFormat="1">
      <c r="A60" s="13"/>
      <c r="B60" s="52" t="s">
        <v>172</v>
      </c>
      <c r="C60" s="403"/>
      <c r="D60" s="426">
        <f>'Trailing-12 &amp; Pro Forma'!AL47</f>
        <v>3836800</v>
      </c>
      <c r="E60" s="427">
        <f t="shared" ref="E60:N60" si="17">(D60*E90)+D60</f>
        <v>3951904</v>
      </c>
      <c r="F60" s="427">
        <f t="shared" si="17"/>
        <v>4070461.12</v>
      </c>
      <c r="G60" s="427">
        <f t="shared" si="17"/>
        <v>4192574.9536000001</v>
      </c>
      <c r="H60" s="427">
        <f t="shared" si="17"/>
        <v>4318352.2022080002</v>
      </c>
      <c r="I60" s="427">
        <f t="shared" si="17"/>
        <v>4447902.7682742402</v>
      </c>
      <c r="J60" s="427">
        <f t="shared" si="17"/>
        <v>4581339.8513224674</v>
      </c>
      <c r="K60" s="427">
        <f t="shared" si="17"/>
        <v>4718780.0468621412</v>
      </c>
      <c r="L60" s="427">
        <f t="shared" si="17"/>
        <v>4860343.4482680056</v>
      </c>
      <c r="M60" s="427">
        <f t="shared" si="17"/>
        <v>5006153.7517160457</v>
      </c>
      <c r="N60" s="427">
        <f t="shared" si="17"/>
        <v>5156338.3642675271</v>
      </c>
    </row>
    <row r="61" spans="1:14" s="16" customFormat="1" ht="5.0999999999999996" customHeight="1">
      <c r="A61" s="13"/>
      <c r="B61" s="52"/>
      <c r="C61" s="403"/>
      <c r="D61" s="426"/>
      <c r="E61" s="427"/>
      <c r="F61" s="427"/>
      <c r="G61" s="427"/>
      <c r="H61" s="427"/>
      <c r="I61" s="427"/>
      <c r="J61" s="427"/>
      <c r="K61" s="427"/>
      <c r="L61" s="427"/>
      <c r="M61" s="427"/>
      <c r="N61" s="427"/>
    </row>
    <row r="62" spans="1:14" s="16" customFormat="1">
      <c r="A62" s="13"/>
      <c r="B62" s="51" t="s">
        <v>71</v>
      </c>
      <c r="C62" s="62"/>
      <c r="D62" s="419">
        <f>'Trailing-12 &amp; Pro Forma'!AL50</f>
        <v>485894.16032000008</v>
      </c>
      <c r="E62" s="420">
        <f t="shared" ref="E62:N62" si="18">E56*E91</f>
        <v>505047.12673279998</v>
      </c>
      <c r="F62" s="420">
        <f t="shared" si="18"/>
        <v>519788.48001305613</v>
      </c>
      <c r="G62" s="420">
        <f t="shared" si="18"/>
        <v>535382.13441344781</v>
      </c>
      <c r="H62" s="420">
        <f t="shared" si="18"/>
        <v>551443.59844585112</v>
      </c>
      <c r="I62" s="420">
        <f t="shared" si="18"/>
        <v>567986.90639922686</v>
      </c>
      <c r="J62" s="420">
        <f t="shared" si="18"/>
        <v>585026.51359120349</v>
      </c>
      <c r="K62" s="420">
        <f t="shared" si="18"/>
        <v>602577.3089989397</v>
      </c>
      <c r="L62" s="420">
        <f t="shared" si="18"/>
        <v>620654.62826890801</v>
      </c>
      <c r="M62" s="420">
        <f t="shared" si="18"/>
        <v>639274.26711697516</v>
      </c>
      <c r="N62" s="420">
        <f t="shared" si="18"/>
        <v>658452.49513048446</v>
      </c>
    </row>
    <row r="63" spans="1:14" s="16" customFormat="1">
      <c r="A63" s="13"/>
      <c r="B63" s="51" t="s">
        <v>30</v>
      </c>
      <c r="C63" s="62"/>
      <c r="D63" s="419">
        <f>'Trailing-12 &amp; Pro Forma'!AL51</f>
        <v>319177.4105882353</v>
      </c>
      <c r="E63" s="420">
        <f t="shared" ref="E63:N63" si="19">(D63*E90)+D63</f>
        <v>328752.73290588235</v>
      </c>
      <c r="F63" s="420">
        <f t="shared" si="19"/>
        <v>338615.31489305885</v>
      </c>
      <c r="G63" s="420">
        <f t="shared" si="19"/>
        <v>348773.77433985064</v>
      </c>
      <c r="H63" s="420">
        <f t="shared" si="19"/>
        <v>359236.98757004616</v>
      </c>
      <c r="I63" s="420">
        <f t="shared" si="19"/>
        <v>370014.09719714755</v>
      </c>
      <c r="J63" s="420">
        <f t="shared" si="19"/>
        <v>381114.520113062</v>
      </c>
      <c r="K63" s="420">
        <f t="shared" si="19"/>
        <v>392547.95571645384</v>
      </c>
      <c r="L63" s="420">
        <f t="shared" si="19"/>
        <v>404324.39438794745</v>
      </c>
      <c r="M63" s="420">
        <f t="shared" si="19"/>
        <v>416454.12621958589</v>
      </c>
      <c r="N63" s="420">
        <f t="shared" si="19"/>
        <v>428947.75000617345</v>
      </c>
    </row>
    <row r="64" spans="1:14" s="16" customFormat="1">
      <c r="A64" s="13"/>
      <c r="B64" s="51" t="s">
        <v>72</v>
      </c>
      <c r="C64" s="62"/>
      <c r="D64" s="419">
        <f>'Trailing-12 &amp; Pro Forma'!AL52</f>
        <v>144000</v>
      </c>
      <c r="E64" s="420">
        <f t="shared" ref="E64:N64" si="20">(D64*E90)+D64</f>
        <v>148320</v>
      </c>
      <c r="F64" s="420">
        <f t="shared" si="20"/>
        <v>152769.60000000001</v>
      </c>
      <c r="G64" s="420">
        <f t="shared" si="20"/>
        <v>157352.68799999999</v>
      </c>
      <c r="H64" s="420">
        <f t="shared" si="20"/>
        <v>162073.26863999999</v>
      </c>
      <c r="I64" s="420">
        <f t="shared" si="20"/>
        <v>166935.46669919998</v>
      </c>
      <c r="J64" s="420">
        <f t="shared" si="20"/>
        <v>171943.53070017599</v>
      </c>
      <c r="K64" s="420">
        <f t="shared" si="20"/>
        <v>177101.83662118128</v>
      </c>
      <c r="L64" s="420">
        <f t="shared" si="20"/>
        <v>182414.89171981672</v>
      </c>
      <c r="M64" s="420">
        <f t="shared" si="20"/>
        <v>187887.33847141123</v>
      </c>
      <c r="N64" s="420">
        <f t="shared" si="20"/>
        <v>193523.95862555358</v>
      </c>
    </row>
    <row r="65" spans="1:14" s="16" customFormat="1">
      <c r="A65" s="13"/>
      <c r="B65" s="409" t="s">
        <v>171</v>
      </c>
      <c r="C65" s="404"/>
      <c r="D65" s="421">
        <f t="shared" ref="D65:N65" si="21">SUM(D62:D64)</f>
        <v>949071.57090823539</v>
      </c>
      <c r="E65" s="422">
        <f t="shared" si="21"/>
        <v>982119.85963868233</v>
      </c>
      <c r="F65" s="422">
        <f t="shared" si="21"/>
        <v>1011173.3949061149</v>
      </c>
      <c r="G65" s="422">
        <f t="shared" si="21"/>
        <v>1041508.5967532984</v>
      </c>
      <c r="H65" s="422">
        <f t="shared" si="21"/>
        <v>1072753.8546558972</v>
      </c>
      <c r="I65" s="422">
        <f t="shared" si="21"/>
        <v>1104936.4702955745</v>
      </c>
      <c r="J65" s="422">
        <f t="shared" si="21"/>
        <v>1138084.5644044415</v>
      </c>
      <c r="K65" s="422">
        <f t="shared" si="21"/>
        <v>1172227.1013365749</v>
      </c>
      <c r="L65" s="422">
        <f t="shared" si="21"/>
        <v>1207393.9143766721</v>
      </c>
      <c r="M65" s="422">
        <f t="shared" si="21"/>
        <v>1243615.7318079723</v>
      </c>
      <c r="N65" s="422">
        <f t="shared" si="21"/>
        <v>1280924.2037622116</v>
      </c>
    </row>
    <row r="66" spans="1:14" s="16" customFormat="1" ht="5.0999999999999996" customHeight="1">
      <c r="A66" s="13"/>
      <c r="B66" s="8" t="s">
        <v>180</v>
      </c>
      <c r="C66" s="62"/>
      <c r="D66" s="419"/>
      <c r="E66" s="420"/>
      <c r="F66" s="420"/>
      <c r="G66" s="420"/>
      <c r="H66" s="420"/>
      <c r="I66" s="420"/>
      <c r="J66" s="420"/>
      <c r="K66" s="420"/>
      <c r="L66" s="420"/>
      <c r="M66" s="420"/>
      <c r="N66" s="420"/>
    </row>
    <row r="67" spans="1:14" s="16" customFormat="1">
      <c r="A67" s="13"/>
      <c r="B67" s="401" t="s">
        <v>73</v>
      </c>
      <c r="C67" s="405"/>
      <c r="D67" s="424">
        <f t="shared" ref="D67:N67" si="22">D65+D60</f>
        <v>4785871.5709082354</v>
      </c>
      <c r="E67" s="425">
        <f t="shared" si="22"/>
        <v>4934023.8596386826</v>
      </c>
      <c r="F67" s="425">
        <f t="shared" si="22"/>
        <v>5081634.5149061149</v>
      </c>
      <c r="G67" s="425">
        <f t="shared" si="22"/>
        <v>5234083.5503532989</v>
      </c>
      <c r="H67" s="425">
        <f t="shared" si="22"/>
        <v>5391106.0568638975</v>
      </c>
      <c r="I67" s="425">
        <f t="shared" si="22"/>
        <v>5552839.2385698147</v>
      </c>
      <c r="J67" s="425">
        <f t="shared" si="22"/>
        <v>5719424.4157269094</v>
      </c>
      <c r="K67" s="425">
        <f t="shared" si="22"/>
        <v>5891007.1481987163</v>
      </c>
      <c r="L67" s="425">
        <f t="shared" si="22"/>
        <v>6067737.362644678</v>
      </c>
      <c r="M67" s="425">
        <f t="shared" si="22"/>
        <v>6249769.483524018</v>
      </c>
      <c r="N67" s="425">
        <f t="shared" si="22"/>
        <v>6437262.568029739</v>
      </c>
    </row>
    <row r="68" spans="1:14" s="59" customFormat="1">
      <c r="A68" s="13"/>
      <c r="B68" s="55" t="s">
        <v>222</v>
      </c>
      <c r="C68" s="56"/>
      <c r="D68" s="57">
        <f t="shared" ref="D68:N68" si="23">D67/D56</f>
        <v>0.49248086947128128</v>
      </c>
      <c r="E68" s="58">
        <f t="shared" si="23"/>
        <v>0.48847162952469136</v>
      </c>
      <c r="F68" s="58">
        <f t="shared" si="23"/>
        <v>0.48881753927852284</v>
      </c>
      <c r="G68" s="58">
        <f t="shared" si="23"/>
        <v>0.48881753927852289</v>
      </c>
      <c r="H68" s="58">
        <f t="shared" si="23"/>
        <v>0.48881753927852301</v>
      </c>
      <c r="I68" s="58">
        <f t="shared" si="23"/>
        <v>0.48881753927852284</v>
      </c>
      <c r="J68" s="58">
        <f t="shared" si="23"/>
        <v>0.48881753927852301</v>
      </c>
      <c r="K68" s="58">
        <f t="shared" si="23"/>
        <v>0.48881753927852289</v>
      </c>
      <c r="L68" s="58">
        <f t="shared" si="23"/>
        <v>0.48881753927852284</v>
      </c>
      <c r="M68" s="58">
        <f t="shared" si="23"/>
        <v>0.48881753927852284</v>
      </c>
      <c r="N68" s="58">
        <f t="shared" si="23"/>
        <v>0.48881753927852289</v>
      </c>
    </row>
    <row r="69" spans="1:14" s="59" customFormat="1" ht="5.0999999999999996" customHeight="1">
      <c r="A69" s="13"/>
      <c r="B69" s="60" t="s">
        <v>180</v>
      </c>
      <c r="C69" s="331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</row>
    <row r="70" spans="1:14" s="16" customFormat="1" ht="13.5" thickBot="1">
      <c r="A70" s="13"/>
      <c r="B70" s="400" t="s">
        <v>74</v>
      </c>
      <c r="C70" s="406"/>
      <c r="D70" s="428">
        <f t="shared" ref="D70:N70" si="24">D56-D67</f>
        <v>4932011.635491766</v>
      </c>
      <c r="E70" s="428">
        <f t="shared" si="24"/>
        <v>5166918.6750173168</v>
      </c>
      <c r="F70" s="428">
        <f t="shared" si="24"/>
        <v>5314135.0853550071</v>
      </c>
      <c r="G70" s="428">
        <f t="shared" si="24"/>
        <v>5473559.1379156569</v>
      </c>
      <c r="H70" s="428">
        <f t="shared" si="24"/>
        <v>5637765.912053124</v>
      </c>
      <c r="I70" s="428">
        <f t="shared" si="24"/>
        <v>5806898.8894147221</v>
      </c>
      <c r="J70" s="428">
        <f t="shared" si="24"/>
        <v>5981105.8560971599</v>
      </c>
      <c r="K70" s="428">
        <f t="shared" si="24"/>
        <v>6160539.0317800771</v>
      </c>
      <c r="L70" s="428">
        <f t="shared" si="24"/>
        <v>6345355.2027334813</v>
      </c>
      <c r="M70" s="428">
        <f t="shared" si="24"/>
        <v>6535715.8588154847</v>
      </c>
      <c r="N70" s="428">
        <f t="shared" si="24"/>
        <v>6731787.3345799483</v>
      </c>
    </row>
    <row r="71" spans="1:14" s="16" customFormat="1" ht="5.0999999999999996" customHeight="1">
      <c r="A71" s="13"/>
      <c r="B71" s="8" t="s">
        <v>180</v>
      </c>
      <c r="C71" s="332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</row>
    <row r="72" spans="1:14" s="16" customFormat="1">
      <c r="A72" s="13"/>
      <c r="B72" s="455" t="s">
        <v>37</v>
      </c>
      <c r="C72" s="456"/>
      <c r="D72" s="457"/>
      <c r="E72" s="457"/>
      <c r="F72" s="457"/>
      <c r="G72" s="457"/>
      <c r="H72" s="457"/>
      <c r="I72" s="457"/>
      <c r="J72" s="457"/>
      <c r="K72" s="457"/>
      <c r="L72" s="457"/>
      <c r="M72" s="457"/>
      <c r="N72" s="457"/>
    </row>
    <row r="73" spans="1:14" s="16" customFormat="1">
      <c r="A73" s="13"/>
      <c r="B73" s="63" t="s">
        <v>224</v>
      </c>
      <c r="C73" s="333"/>
      <c r="D73" s="420">
        <f>'Trailing-12 &amp; Pro Forma'!AL64</f>
        <v>40000</v>
      </c>
      <c r="E73" s="420">
        <f>(D73*E90)+D73</f>
        <v>41200</v>
      </c>
      <c r="F73" s="420">
        <f t="shared" ref="F73:N73" si="25">(E73*F90)+E73</f>
        <v>42436</v>
      </c>
      <c r="G73" s="420">
        <f t="shared" si="25"/>
        <v>43709.08</v>
      </c>
      <c r="H73" s="420">
        <f t="shared" si="25"/>
        <v>45020.352400000003</v>
      </c>
      <c r="I73" s="420">
        <f t="shared" si="25"/>
        <v>46370.962972000001</v>
      </c>
      <c r="J73" s="420">
        <f t="shared" si="25"/>
        <v>47762.091861159999</v>
      </c>
      <c r="K73" s="420">
        <f t="shared" si="25"/>
        <v>49194.954616994801</v>
      </c>
      <c r="L73" s="420">
        <f t="shared" si="25"/>
        <v>50670.803255504645</v>
      </c>
      <c r="M73" s="420">
        <f t="shared" si="25"/>
        <v>52190.927353169784</v>
      </c>
      <c r="N73" s="420">
        <f t="shared" si="25"/>
        <v>53756.655173764877</v>
      </c>
    </row>
    <row r="74" spans="1:14" s="16" customFormat="1">
      <c r="A74" s="13"/>
      <c r="B74" s="401" t="s">
        <v>38</v>
      </c>
      <c r="C74" s="446"/>
      <c r="D74" s="425">
        <f>D70-D73</f>
        <v>4892011.635491766</v>
      </c>
      <c r="E74" s="425">
        <f t="shared" ref="E74:N74" si="26">E70-E73</f>
        <v>5125718.6750173168</v>
      </c>
      <c r="F74" s="425">
        <f t="shared" si="26"/>
        <v>5271699.0853550071</v>
      </c>
      <c r="G74" s="425">
        <f t="shared" si="26"/>
        <v>5429850.0579156568</v>
      </c>
      <c r="H74" s="425">
        <f t="shared" si="26"/>
        <v>5592745.5596531238</v>
      </c>
      <c r="I74" s="425">
        <f t="shared" si="26"/>
        <v>5760527.9264427219</v>
      </c>
      <c r="J74" s="425">
        <f t="shared" si="26"/>
        <v>5933343.7642360004</v>
      </c>
      <c r="K74" s="425">
        <f t="shared" si="26"/>
        <v>6111344.0771630825</v>
      </c>
      <c r="L74" s="425">
        <f t="shared" si="26"/>
        <v>6294684.3994779764</v>
      </c>
      <c r="M74" s="425">
        <f t="shared" si="26"/>
        <v>6483524.9314623149</v>
      </c>
      <c r="N74" s="425">
        <f t="shared" si="26"/>
        <v>6678030.6794061838</v>
      </c>
    </row>
    <row r="75" spans="1:14" s="16" customFormat="1" ht="5.0999999999999996" customHeight="1">
      <c r="A75" s="13"/>
      <c r="B75" s="8" t="s">
        <v>180</v>
      </c>
      <c r="C75" s="332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</row>
    <row r="76" spans="1:14" s="16" customFormat="1">
      <c r="A76" s="13"/>
      <c r="B76" s="455" t="s">
        <v>75</v>
      </c>
      <c r="C76" s="458"/>
      <c r="D76" s="457"/>
      <c r="E76" s="457"/>
      <c r="F76" s="457"/>
      <c r="G76" s="457"/>
      <c r="H76" s="457"/>
      <c r="I76" s="457"/>
      <c r="J76" s="457"/>
      <c r="K76" s="457"/>
      <c r="L76" s="459"/>
      <c r="M76" s="457"/>
      <c r="N76" s="460"/>
    </row>
    <row r="77" spans="1:14" s="16" customFormat="1">
      <c r="A77" s="13"/>
      <c r="B77" s="63" t="s">
        <v>76</v>
      </c>
      <c r="C77" s="334"/>
      <c r="D77" s="420">
        <f>IF(D41&lt;=$C$19,(VLOOKUP(D41,'Amort. Schedule'!$B$15:$F$24,5)),0)</f>
        <v>2210000.0000000005</v>
      </c>
      <c r="E77" s="420">
        <f>IF(E41&lt;=$C$19,(VLOOKUP(E41,'Amort. Schedule'!$B$15:$F$24,5)),0)</f>
        <v>2210000.0000000005</v>
      </c>
      <c r="F77" s="420">
        <f>IF(F41&lt;=$C$19,(VLOOKUP(F41,'Amort. Schedule'!$B$15:$F$24,5)),0)</f>
        <v>2210000.0000000005</v>
      </c>
      <c r="G77" s="420">
        <f>IF(G41&lt;=$C$19,(VLOOKUP(G41,'Amort. Schedule'!$B$15:$F$24,5)),0)</f>
        <v>3069704.9203359783</v>
      </c>
      <c r="H77" s="420">
        <f>IF(H41&lt;=$C$19,(VLOOKUP(H41,'Amort. Schedule'!$B$15:$F$24,5)),0)</f>
        <v>3069704.9203359783</v>
      </c>
      <c r="I77" s="420">
        <f>IF(I41&lt;=$C$19,(VLOOKUP(I41,'Amort. Schedule'!$B$15:$F$24,5)),0)</f>
        <v>3069704.9203359783</v>
      </c>
      <c r="J77" s="420">
        <f>IF(J41&lt;=$C$19,(VLOOKUP(J41,'Amort. Schedule'!$B$15:$F$24,5)),0)</f>
        <v>3069704.9203359778</v>
      </c>
      <c r="K77" s="420">
        <f>IF(K41&lt;=$C$19,(VLOOKUP(K41,'Amort. Schedule'!$B$15:$F$24,5)),0)</f>
        <v>0</v>
      </c>
      <c r="L77" s="420">
        <f>IF(L41&lt;=$C$19,(VLOOKUP(L41,'Amort. Schedule'!$B$15:$F$24,5)),0)</f>
        <v>0</v>
      </c>
      <c r="M77" s="420">
        <f>IF(M41&lt;=$C$19,(VLOOKUP(M41,'Amort. Schedule'!$B$15:$F$24,5)),0)</f>
        <v>0</v>
      </c>
      <c r="N77" s="420">
        <f>IF(N41&lt;=$C$19,(VLOOKUP(N41,'Amort. Schedule'!$B$15:$F$24,5)),0)</f>
        <v>0</v>
      </c>
    </row>
    <row r="78" spans="1:14" s="16" customFormat="1" ht="5.0999999999999996" customHeight="1">
      <c r="A78" s="13"/>
      <c r="B78" s="8" t="s">
        <v>180</v>
      </c>
      <c r="C78" s="334"/>
      <c r="D78" s="420"/>
      <c r="E78" s="420"/>
      <c r="F78" s="420"/>
      <c r="G78" s="420"/>
      <c r="H78" s="420"/>
      <c r="I78" s="420"/>
      <c r="J78" s="420"/>
      <c r="K78" s="420"/>
      <c r="L78" s="420"/>
      <c r="M78" s="420"/>
      <c r="N78" s="420"/>
    </row>
    <row r="79" spans="1:14" s="16" customFormat="1">
      <c r="A79" s="13"/>
      <c r="B79" s="401" t="s">
        <v>77</v>
      </c>
      <c r="C79" s="447"/>
      <c r="D79" s="425">
        <f t="shared" ref="D79:M79" si="27">D74-D77</f>
        <v>2682011.6354917656</v>
      </c>
      <c r="E79" s="425">
        <f t="shared" si="27"/>
        <v>2915718.6750173164</v>
      </c>
      <c r="F79" s="425">
        <f t="shared" si="27"/>
        <v>3061699.0853550066</v>
      </c>
      <c r="G79" s="425">
        <f t="shared" si="27"/>
        <v>2360145.1375796786</v>
      </c>
      <c r="H79" s="425">
        <f t="shared" si="27"/>
        <v>2523040.6393171456</v>
      </c>
      <c r="I79" s="425">
        <f t="shared" si="27"/>
        <v>2690823.0061067436</v>
      </c>
      <c r="J79" s="425">
        <f t="shared" si="27"/>
        <v>2863638.8439000226</v>
      </c>
      <c r="K79" s="425">
        <f t="shared" si="27"/>
        <v>6111344.0771630825</v>
      </c>
      <c r="L79" s="448">
        <f t="shared" si="27"/>
        <v>6294684.3994779764</v>
      </c>
      <c r="M79" s="425">
        <f t="shared" si="27"/>
        <v>6483524.9314623149</v>
      </c>
      <c r="N79" s="425">
        <f>N74-N77</f>
        <v>6678030.6794061838</v>
      </c>
    </row>
    <row r="80" spans="1:14" s="16" customFormat="1" ht="5.0999999999999996" customHeight="1">
      <c r="A80" s="13"/>
      <c r="B80" s="17"/>
      <c r="C80" s="461"/>
      <c r="D80" s="422"/>
      <c r="E80" s="422"/>
      <c r="F80" s="422"/>
      <c r="G80" s="422"/>
      <c r="H80" s="422"/>
      <c r="I80" s="422"/>
      <c r="J80" s="422"/>
      <c r="K80" s="422"/>
      <c r="L80" s="462"/>
      <c r="M80" s="422"/>
      <c r="N80" s="422"/>
    </row>
    <row r="81" spans="1:14" s="16" customFormat="1">
      <c r="A81" s="13"/>
      <c r="B81" s="401" t="s">
        <v>225</v>
      </c>
      <c r="C81" s="447"/>
      <c r="D81" s="449">
        <f t="shared" ref="D81:N81" si="28">IF(D77&gt;0,(D74/$C$24),"")</f>
        <v>1.5936423084458351</v>
      </c>
      <c r="E81" s="449">
        <f t="shared" si="28"/>
        <v>1.6697756976772573</v>
      </c>
      <c r="F81" s="449">
        <f t="shared" si="28"/>
        <v>1.717330890806932</v>
      </c>
      <c r="G81" s="449">
        <f t="shared" si="28"/>
        <v>1.7688508175311399</v>
      </c>
      <c r="H81" s="449">
        <f t="shared" si="28"/>
        <v>1.8219163420570732</v>
      </c>
      <c r="I81" s="449">
        <f t="shared" si="28"/>
        <v>1.8765738323187868</v>
      </c>
      <c r="J81" s="449">
        <f t="shared" si="28"/>
        <v>1.9328710472883492</v>
      </c>
      <c r="K81" s="449" t="str">
        <f t="shared" si="28"/>
        <v/>
      </c>
      <c r="L81" s="449" t="str">
        <f t="shared" si="28"/>
        <v/>
      </c>
      <c r="M81" s="449" t="str">
        <f t="shared" si="28"/>
        <v/>
      </c>
      <c r="N81" s="449" t="str">
        <f t="shared" si="28"/>
        <v/>
      </c>
    </row>
    <row r="82" spans="1:14" s="16" customFormat="1">
      <c r="A82" s="13"/>
      <c r="B82" s="8" t="s">
        <v>180</v>
      </c>
      <c r="C82" s="335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</row>
    <row r="83" spans="1:14" s="16" customFormat="1">
      <c r="A83" s="13"/>
      <c r="B83" s="22" t="s">
        <v>78</v>
      </c>
      <c r="C83" s="332"/>
      <c r="D83" s="65" t="s">
        <v>79</v>
      </c>
      <c r="E83" s="65" t="s">
        <v>80</v>
      </c>
      <c r="F83" s="65" t="s">
        <v>81</v>
      </c>
      <c r="G83" s="65" t="s">
        <v>82</v>
      </c>
      <c r="H83" s="65" t="s">
        <v>83</v>
      </c>
      <c r="I83" s="65" t="s">
        <v>84</v>
      </c>
      <c r="J83" s="65" t="s">
        <v>85</v>
      </c>
      <c r="K83" s="65" t="s">
        <v>86</v>
      </c>
      <c r="L83" s="65" t="s">
        <v>87</v>
      </c>
      <c r="M83" s="65" t="s">
        <v>88</v>
      </c>
      <c r="N83" s="65" t="s">
        <v>89</v>
      </c>
    </row>
    <row r="84" spans="1:14" s="16" customFormat="1">
      <c r="A84" s="13"/>
      <c r="B84" s="63" t="s">
        <v>90</v>
      </c>
      <c r="C84" s="332"/>
      <c r="D84" s="67">
        <v>0.06</v>
      </c>
      <c r="E84" s="67">
        <v>0.04</v>
      </c>
      <c r="F84" s="67">
        <v>0.04</v>
      </c>
      <c r="G84" s="67">
        <v>0.03</v>
      </c>
      <c r="H84" s="67">
        <v>0.03</v>
      </c>
      <c r="I84" s="67">
        <v>0.03</v>
      </c>
      <c r="J84" s="67">
        <v>0.03</v>
      </c>
      <c r="K84" s="67">
        <v>0.03</v>
      </c>
      <c r="L84" s="67">
        <v>0.03</v>
      </c>
      <c r="M84" s="67">
        <v>0.03</v>
      </c>
      <c r="N84" s="67">
        <v>0.03</v>
      </c>
    </row>
    <row r="85" spans="1:14" s="16" customFormat="1">
      <c r="A85" s="13"/>
      <c r="B85" s="63" t="s">
        <v>68</v>
      </c>
      <c r="C85" s="336"/>
      <c r="D85" s="67">
        <v>0</v>
      </c>
      <c r="E85" s="67">
        <v>0</v>
      </c>
      <c r="F85" s="67">
        <v>0</v>
      </c>
      <c r="G85" s="67">
        <v>0</v>
      </c>
      <c r="H85" s="67">
        <v>0</v>
      </c>
      <c r="I85" s="67">
        <v>0</v>
      </c>
      <c r="J85" s="67">
        <v>0</v>
      </c>
      <c r="K85" s="67">
        <v>0</v>
      </c>
      <c r="L85" s="67">
        <v>0</v>
      </c>
      <c r="M85" s="67">
        <v>0</v>
      </c>
      <c r="N85" s="67">
        <v>0</v>
      </c>
    </row>
    <row r="86" spans="1:14" s="16" customFormat="1">
      <c r="A86" s="13"/>
      <c r="B86" s="63" t="s">
        <v>11</v>
      </c>
      <c r="C86" s="336"/>
      <c r="D86" s="67">
        <v>-0.04</v>
      </c>
      <c r="E86" s="67">
        <v>-0.04</v>
      </c>
      <c r="F86" s="67">
        <v>-0.05</v>
      </c>
      <c r="G86" s="67">
        <v>-0.05</v>
      </c>
      <c r="H86" s="67">
        <v>-0.05</v>
      </c>
      <c r="I86" s="67">
        <v>-0.05</v>
      </c>
      <c r="J86" s="67">
        <v>-0.05</v>
      </c>
      <c r="K86" s="67">
        <v>-0.05</v>
      </c>
      <c r="L86" s="67">
        <v>-0.05</v>
      </c>
      <c r="M86" s="67">
        <v>-0.05</v>
      </c>
      <c r="N86" s="67">
        <v>-0.05</v>
      </c>
    </row>
    <row r="87" spans="1:14" s="16" customFormat="1">
      <c r="A87" s="13"/>
      <c r="B87" s="63" t="s">
        <v>181</v>
      </c>
      <c r="C87" s="336"/>
      <c r="D87" s="67">
        <v>0</v>
      </c>
      <c r="E87" s="67">
        <v>0</v>
      </c>
      <c r="F87" s="67">
        <v>0</v>
      </c>
      <c r="G87" s="67">
        <v>0</v>
      </c>
      <c r="H87" s="67">
        <v>0</v>
      </c>
      <c r="I87" s="67">
        <v>0</v>
      </c>
      <c r="J87" s="67">
        <v>0</v>
      </c>
      <c r="K87" s="67">
        <v>0</v>
      </c>
      <c r="L87" s="67">
        <v>0</v>
      </c>
      <c r="M87" s="67">
        <v>0</v>
      </c>
      <c r="N87" s="67">
        <v>0</v>
      </c>
    </row>
    <row r="88" spans="1:14" s="16" customFormat="1">
      <c r="A88" s="13"/>
      <c r="B88" s="63" t="s">
        <v>182</v>
      </c>
      <c r="C88" s="336"/>
      <c r="D88" s="67">
        <v>-5.0000000000000001E-4</v>
      </c>
      <c r="E88" s="67">
        <v>-5.0000000000000001E-4</v>
      </c>
      <c r="F88" s="67">
        <v>-5.0000000000000001E-4</v>
      </c>
      <c r="G88" s="67">
        <v>-5.0000000000000001E-4</v>
      </c>
      <c r="H88" s="67">
        <v>-5.0000000000000001E-4</v>
      </c>
      <c r="I88" s="67">
        <v>-5.0000000000000001E-4</v>
      </c>
      <c r="J88" s="67">
        <v>-5.0000000000000001E-4</v>
      </c>
      <c r="K88" s="67">
        <v>-5.0000000000000001E-4</v>
      </c>
      <c r="L88" s="67">
        <v>-5.0000000000000001E-4</v>
      </c>
      <c r="M88" s="67">
        <v>-5.0000000000000001E-4</v>
      </c>
      <c r="N88" s="67">
        <v>-5.0000000000000001E-4</v>
      </c>
    </row>
    <row r="89" spans="1:14" s="16" customFormat="1">
      <c r="A89" s="13"/>
      <c r="B89" s="63" t="s">
        <v>183</v>
      </c>
      <c r="C89" s="336"/>
      <c r="D89" s="67">
        <v>-2E-3</v>
      </c>
      <c r="E89" s="67">
        <v>-2E-3</v>
      </c>
      <c r="F89" s="67">
        <v>-2E-3</v>
      </c>
      <c r="G89" s="67">
        <v>-2E-3</v>
      </c>
      <c r="H89" s="67">
        <v>-2E-3</v>
      </c>
      <c r="I89" s="67">
        <v>-2E-3</v>
      </c>
      <c r="J89" s="67">
        <v>-2E-3</v>
      </c>
      <c r="K89" s="67">
        <v>-2E-3</v>
      </c>
      <c r="L89" s="67">
        <v>-2E-3</v>
      </c>
      <c r="M89" s="67">
        <v>-2E-3</v>
      </c>
      <c r="N89" s="67">
        <v>-2E-3</v>
      </c>
    </row>
    <row r="90" spans="1:14" s="16" customFormat="1">
      <c r="A90" s="13"/>
      <c r="B90" s="63" t="s">
        <v>91</v>
      </c>
      <c r="C90" s="68"/>
      <c r="D90" s="66">
        <v>0</v>
      </c>
      <c r="E90" s="67">
        <v>0.03</v>
      </c>
      <c r="F90" s="67">
        <v>0.03</v>
      </c>
      <c r="G90" s="67">
        <v>0.03</v>
      </c>
      <c r="H90" s="67">
        <v>0.03</v>
      </c>
      <c r="I90" s="67">
        <v>0.03</v>
      </c>
      <c r="J90" s="67">
        <v>0.03</v>
      </c>
      <c r="K90" s="67">
        <v>0.03</v>
      </c>
      <c r="L90" s="67">
        <v>0.03</v>
      </c>
      <c r="M90" s="67">
        <v>0.03</v>
      </c>
      <c r="N90" s="67">
        <v>0.03</v>
      </c>
    </row>
    <row r="91" spans="1:14" s="16" customFormat="1">
      <c r="A91" s="13"/>
      <c r="B91" s="63" t="s">
        <v>71</v>
      </c>
      <c r="C91" s="68"/>
      <c r="D91" s="66">
        <v>0.05</v>
      </c>
      <c r="E91" s="67">
        <v>0.05</v>
      </c>
      <c r="F91" s="67">
        <v>0.05</v>
      </c>
      <c r="G91" s="67">
        <v>0.05</v>
      </c>
      <c r="H91" s="67">
        <v>0.05</v>
      </c>
      <c r="I91" s="67">
        <v>0.05</v>
      </c>
      <c r="J91" s="67">
        <v>0.05</v>
      </c>
      <c r="K91" s="67">
        <v>0.05</v>
      </c>
      <c r="L91" s="67">
        <v>0.05</v>
      </c>
      <c r="M91" s="67">
        <v>0.05</v>
      </c>
      <c r="N91" s="67">
        <v>0.05</v>
      </c>
    </row>
    <row r="92" spans="1:14" s="16" customFormat="1">
      <c r="A92" s="13"/>
      <c r="B92" s="8"/>
      <c r="C92" s="68"/>
      <c r="D92" s="69"/>
      <c r="E92" s="70"/>
      <c r="F92" s="70"/>
      <c r="G92" s="70"/>
      <c r="H92" s="70"/>
      <c r="I92" s="70"/>
      <c r="J92" s="70"/>
      <c r="K92" s="70"/>
      <c r="L92" s="70"/>
      <c r="M92" s="70"/>
      <c r="N92" s="70"/>
    </row>
    <row r="93" spans="1:14" s="16" customFormat="1">
      <c r="A93" s="13"/>
      <c r="B93" s="71" t="s">
        <v>92</v>
      </c>
      <c r="C93" s="71" t="s">
        <v>93</v>
      </c>
      <c r="D93" s="72">
        <f t="shared" ref="D93:N93" si="29">D41</f>
        <v>1</v>
      </c>
      <c r="E93" s="73">
        <f t="shared" si="29"/>
        <v>2</v>
      </c>
      <c r="F93" s="73">
        <f t="shared" si="29"/>
        <v>3</v>
      </c>
      <c r="G93" s="73">
        <f t="shared" si="29"/>
        <v>4</v>
      </c>
      <c r="H93" s="73">
        <f t="shared" si="29"/>
        <v>5</v>
      </c>
      <c r="I93" s="73">
        <f t="shared" si="29"/>
        <v>6</v>
      </c>
      <c r="J93" s="73">
        <f t="shared" si="29"/>
        <v>7</v>
      </c>
      <c r="K93" s="73">
        <f t="shared" si="29"/>
        <v>8</v>
      </c>
      <c r="L93" s="73">
        <f t="shared" si="29"/>
        <v>9</v>
      </c>
      <c r="M93" s="73">
        <f t="shared" si="29"/>
        <v>10</v>
      </c>
      <c r="N93" s="73">
        <f t="shared" si="29"/>
        <v>11</v>
      </c>
    </row>
    <row r="94" spans="1:14" s="16" customFormat="1">
      <c r="A94" s="13"/>
      <c r="B94" s="74" t="s">
        <v>94</v>
      </c>
      <c r="C94" s="433">
        <f>-C7-C8</f>
        <v>-80000000</v>
      </c>
      <c r="D94" s="429">
        <f t="shared" ref="D94:N94" si="30">IF($C$29&gt;D93,D74,"")</f>
        <v>4892011.635491766</v>
      </c>
      <c r="E94" s="430">
        <f t="shared" si="30"/>
        <v>5125718.6750173168</v>
      </c>
      <c r="F94" s="430">
        <f t="shared" si="30"/>
        <v>5271699.0853550071</v>
      </c>
      <c r="G94" s="430">
        <f t="shared" si="30"/>
        <v>5429850.0579156568</v>
      </c>
      <c r="H94" s="430">
        <f t="shared" si="30"/>
        <v>5592745.5596531238</v>
      </c>
      <c r="I94" s="430">
        <f t="shared" si="30"/>
        <v>5760527.9264427219</v>
      </c>
      <c r="J94" s="430">
        <f t="shared" si="30"/>
        <v>5933343.7642360004</v>
      </c>
      <c r="K94" s="430" t="str">
        <f t="shared" si="30"/>
        <v/>
      </c>
      <c r="L94" s="430" t="str">
        <f t="shared" si="30"/>
        <v/>
      </c>
      <c r="M94" s="430" t="str">
        <f t="shared" si="30"/>
        <v/>
      </c>
      <c r="N94" s="430" t="str">
        <f t="shared" si="30"/>
        <v/>
      </c>
    </row>
    <row r="95" spans="1:14" s="16" customFormat="1">
      <c r="A95" s="13"/>
      <c r="B95" s="74" t="s">
        <v>95</v>
      </c>
      <c r="C95" s="71"/>
      <c r="D95" s="431" t="str">
        <f t="shared" ref="D95:N95" si="31">IF($C$28=D93,$C$34,"")</f>
        <v/>
      </c>
      <c r="E95" s="432" t="str">
        <f t="shared" si="31"/>
        <v/>
      </c>
      <c r="F95" s="432" t="str">
        <f t="shared" si="31"/>
        <v/>
      </c>
      <c r="G95" s="432" t="str">
        <f t="shared" si="31"/>
        <v/>
      </c>
      <c r="H95" s="432" t="str">
        <f t="shared" si="31"/>
        <v/>
      </c>
      <c r="I95" s="432" t="str">
        <f t="shared" si="31"/>
        <v/>
      </c>
      <c r="J95" s="432">
        <f t="shared" si="31"/>
        <v>75245923.965070456</v>
      </c>
      <c r="K95" s="432" t="str">
        <f t="shared" si="31"/>
        <v/>
      </c>
      <c r="L95" s="432" t="str">
        <f t="shared" si="31"/>
        <v/>
      </c>
      <c r="M95" s="432" t="str">
        <f t="shared" si="31"/>
        <v/>
      </c>
      <c r="N95" s="432" t="str">
        <f t="shared" si="31"/>
        <v/>
      </c>
    </row>
    <row r="96" spans="1:14" s="16" customFormat="1">
      <c r="A96" s="13"/>
      <c r="B96" s="74">
        <f>IRR(C96:N96)</f>
        <v>6.0302321124354741E-2</v>
      </c>
      <c r="C96" s="433">
        <f>SUM(C94:C95)</f>
        <v>-80000000</v>
      </c>
      <c r="D96" s="434">
        <f t="shared" ref="D96:N96" si="32">SUM(D94:D95)</f>
        <v>4892011.635491766</v>
      </c>
      <c r="E96" s="433">
        <f t="shared" si="32"/>
        <v>5125718.6750173168</v>
      </c>
      <c r="F96" s="433">
        <f t="shared" si="32"/>
        <v>5271699.0853550071</v>
      </c>
      <c r="G96" s="433">
        <f t="shared" si="32"/>
        <v>5429850.0579156568</v>
      </c>
      <c r="H96" s="433">
        <f t="shared" si="32"/>
        <v>5592745.5596531238</v>
      </c>
      <c r="I96" s="433">
        <f t="shared" si="32"/>
        <v>5760527.9264427219</v>
      </c>
      <c r="J96" s="433">
        <f t="shared" si="32"/>
        <v>81179267.729306459</v>
      </c>
      <c r="K96" s="433">
        <f t="shared" si="32"/>
        <v>0</v>
      </c>
      <c r="L96" s="433">
        <f t="shared" si="32"/>
        <v>0</v>
      </c>
      <c r="M96" s="433">
        <f t="shared" si="32"/>
        <v>0</v>
      </c>
      <c r="N96" s="433">
        <f t="shared" si="32"/>
        <v>0</v>
      </c>
    </row>
    <row r="97" spans="1:19" s="16" customFormat="1">
      <c r="A97" s="13"/>
      <c r="B97" s="68"/>
      <c r="C97" s="68"/>
      <c r="D97" s="429"/>
      <c r="E97" s="435"/>
      <c r="F97" s="435"/>
      <c r="G97" s="435"/>
      <c r="H97" s="435"/>
      <c r="I97" s="420"/>
      <c r="J97" s="420"/>
      <c r="K97" s="420"/>
      <c r="L97" s="420"/>
      <c r="M97" s="420"/>
      <c r="N97" s="435"/>
    </row>
    <row r="98" spans="1:19" s="16" customFormat="1">
      <c r="A98" s="13"/>
      <c r="B98" s="71" t="s">
        <v>96</v>
      </c>
      <c r="C98" s="71" t="s">
        <v>93</v>
      </c>
      <c r="D98" s="72">
        <f t="shared" ref="D98:N98" si="33">D41</f>
        <v>1</v>
      </c>
      <c r="E98" s="73">
        <f t="shared" si="33"/>
        <v>2</v>
      </c>
      <c r="F98" s="73">
        <f t="shared" si="33"/>
        <v>3</v>
      </c>
      <c r="G98" s="73">
        <f t="shared" si="33"/>
        <v>4</v>
      </c>
      <c r="H98" s="73">
        <f t="shared" si="33"/>
        <v>5</v>
      </c>
      <c r="I98" s="73">
        <f t="shared" si="33"/>
        <v>6</v>
      </c>
      <c r="J98" s="73">
        <f t="shared" si="33"/>
        <v>7</v>
      </c>
      <c r="K98" s="73">
        <f t="shared" si="33"/>
        <v>8</v>
      </c>
      <c r="L98" s="73">
        <f t="shared" si="33"/>
        <v>9</v>
      </c>
      <c r="M98" s="73">
        <f t="shared" si="33"/>
        <v>10</v>
      </c>
      <c r="N98" s="73">
        <f t="shared" si="33"/>
        <v>11</v>
      </c>
    </row>
    <row r="99" spans="1:19" s="16" customFormat="1">
      <c r="A99" s="13"/>
      <c r="B99" s="74" t="s">
        <v>94</v>
      </c>
      <c r="C99" s="433">
        <f>-C11</f>
        <v>-28520000</v>
      </c>
      <c r="D99" s="429">
        <f t="shared" ref="D99:N99" si="34">IF($C$29&gt;D98,D79,"")</f>
        <v>2682011.6354917656</v>
      </c>
      <c r="E99" s="435">
        <f t="shared" si="34"/>
        <v>2915718.6750173164</v>
      </c>
      <c r="F99" s="435">
        <f t="shared" si="34"/>
        <v>3061699.0853550066</v>
      </c>
      <c r="G99" s="435">
        <f t="shared" si="34"/>
        <v>2360145.1375796786</v>
      </c>
      <c r="H99" s="435">
        <f t="shared" si="34"/>
        <v>2523040.6393171456</v>
      </c>
      <c r="I99" s="435">
        <f t="shared" si="34"/>
        <v>2690823.0061067436</v>
      </c>
      <c r="J99" s="435">
        <f t="shared" si="34"/>
        <v>2863638.8439000226</v>
      </c>
      <c r="K99" s="435" t="str">
        <f t="shared" si="34"/>
        <v/>
      </c>
      <c r="L99" s="435" t="str">
        <f t="shared" si="34"/>
        <v/>
      </c>
      <c r="M99" s="435" t="str">
        <f t="shared" si="34"/>
        <v/>
      </c>
      <c r="N99" s="435" t="str">
        <f t="shared" si="34"/>
        <v/>
      </c>
    </row>
    <row r="100" spans="1:19" s="16" customFormat="1">
      <c r="A100" s="13"/>
      <c r="B100" s="74" t="s">
        <v>95</v>
      </c>
      <c r="C100" s="436"/>
      <c r="D100" s="431" t="str">
        <f t="shared" ref="D100:N100" si="35">IF($C$28=D98,$C$36,"")</f>
        <v/>
      </c>
      <c r="E100" s="432" t="str">
        <f t="shared" si="35"/>
        <v/>
      </c>
      <c r="F100" s="432" t="str">
        <f t="shared" si="35"/>
        <v/>
      </c>
      <c r="G100" s="432" t="str">
        <f t="shared" si="35"/>
        <v/>
      </c>
      <c r="H100" s="432" t="str">
        <f t="shared" si="35"/>
        <v/>
      </c>
      <c r="I100" s="432" t="str">
        <f t="shared" si="35"/>
        <v/>
      </c>
      <c r="J100" s="432">
        <f t="shared" si="35"/>
        <v>26987135.625966802</v>
      </c>
      <c r="K100" s="432" t="str">
        <f t="shared" si="35"/>
        <v/>
      </c>
      <c r="L100" s="432" t="str">
        <f t="shared" si="35"/>
        <v/>
      </c>
      <c r="M100" s="432" t="str">
        <f t="shared" si="35"/>
        <v/>
      </c>
      <c r="N100" s="432" t="str">
        <f t="shared" si="35"/>
        <v/>
      </c>
    </row>
    <row r="101" spans="1:19" s="16" customFormat="1">
      <c r="A101" s="13"/>
      <c r="B101" s="74">
        <f>IRR(C101:N101)</f>
        <v>9.0031946547091124E-2</v>
      </c>
      <c r="C101" s="433">
        <f t="shared" ref="C101:H101" si="36">SUM(C99:C100)</f>
        <v>-28520000</v>
      </c>
      <c r="D101" s="434">
        <f t="shared" si="36"/>
        <v>2682011.6354917656</v>
      </c>
      <c r="E101" s="433">
        <f t="shared" si="36"/>
        <v>2915718.6750173164</v>
      </c>
      <c r="F101" s="433">
        <f t="shared" si="36"/>
        <v>3061699.0853550066</v>
      </c>
      <c r="G101" s="433">
        <f t="shared" si="36"/>
        <v>2360145.1375796786</v>
      </c>
      <c r="H101" s="433">
        <f t="shared" si="36"/>
        <v>2523040.6393171456</v>
      </c>
      <c r="I101" s="433">
        <f t="shared" ref="I101:N101" si="37">SUM(I99:I100)</f>
        <v>2690823.0061067436</v>
      </c>
      <c r="J101" s="433">
        <f t="shared" si="37"/>
        <v>29850774.469866823</v>
      </c>
      <c r="K101" s="433">
        <f t="shared" si="37"/>
        <v>0</v>
      </c>
      <c r="L101" s="433">
        <f t="shared" si="37"/>
        <v>0</v>
      </c>
      <c r="M101" s="433">
        <f t="shared" si="37"/>
        <v>0</v>
      </c>
      <c r="N101" s="433">
        <f t="shared" si="37"/>
        <v>0</v>
      </c>
    </row>
    <row r="102" spans="1:19" s="16" customFormat="1">
      <c r="A102" s="13"/>
      <c r="B102" s="74"/>
      <c r="C102" s="433"/>
      <c r="D102" s="419"/>
      <c r="E102" s="420"/>
      <c r="F102" s="420"/>
      <c r="G102" s="420"/>
      <c r="H102" s="420"/>
      <c r="I102" s="420"/>
      <c r="J102" s="420"/>
      <c r="K102" s="420"/>
      <c r="L102" s="420"/>
      <c r="M102" s="420"/>
      <c r="N102" s="435"/>
    </row>
    <row r="103" spans="1:19" s="16" customFormat="1" ht="15">
      <c r="A103" s="13"/>
      <c r="B103" s="357" t="s">
        <v>97</v>
      </c>
      <c r="C103" s="358"/>
      <c r="D103" s="359"/>
      <c r="E103" s="360"/>
      <c r="F103" s="360"/>
      <c r="G103" s="360"/>
      <c r="H103" s="360"/>
      <c r="I103" s="360"/>
      <c r="J103" s="360"/>
      <c r="K103" s="360"/>
      <c r="L103" s="360"/>
      <c r="M103" s="360"/>
      <c r="N103" s="360"/>
    </row>
    <row r="104" spans="1:19" s="16" customFormat="1">
      <c r="A104" s="13"/>
      <c r="B104" s="347" t="str">
        <f>"Unleveraged "&amp;TEXT($C$28,"0")&amp;" YR IRR"</f>
        <v>Unleveraged 7 YR IRR</v>
      </c>
      <c r="D104" s="75">
        <f>B96</f>
        <v>6.0302321124354741E-2</v>
      </c>
      <c r="E104" s="70"/>
      <c r="F104" s="70"/>
      <c r="G104" s="70"/>
      <c r="H104" s="70"/>
      <c r="I104" s="70"/>
      <c r="J104" s="70"/>
      <c r="K104" s="70"/>
      <c r="L104" s="70"/>
      <c r="M104" s="70"/>
      <c r="N104" s="70"/>
    </row>
    <row r="105" spans="1:19" s="16" customFormat="1">
      <c r="A105" s="13"/>
      <c r="B105" s="347" t="str">
        <f>"Leveraged "&amp;TEXT($C$28,"0")&amp;" YR IRR"</f>
        <v>Leveraged 7 YR IRR</v>
      </c>
      <c r="D105" s="75">
        <f>B101</f>
        <v>9.0031946547091124E-2</v>
      </c>
      <c r="E105" s="70"/>
      <c r="F105" s="70"/>
      <c r="G105" s="70"/>
      <c r="H105" s="70"/>
      <c r="I105" s="70"/>
      <c r="J105" s="70"/>
      <c r="K105" s="70"/>
      <c r="L105" s="70"/>
      <c r="M105" s="70"/>
      <c r="N105" s="70"/>
    </row>
    <row r="106" spans="1:19" s="16" customFormat="1">
      <c r="A106" s="13"/>
      <c r="B106" s="347" t="s">
        <v>98</v>
      </c>
      <c r="D106" s="75">
        <f t="shared" ref="D106:N106" si="38">D74/($C$7+$C$8)</f>
        <v>6.1150145443647073E-2</v>
      </c>
      <c r="E106" s="76">
        <f t="shared" si="38"/>
        <v>6.4071483437716459E-2</v>
      </c>
      <c r="F106" s="76">
        <f t="shared" si="38"/>
        <v>6.589623856693759E-2</v>
      </c>
      <c r="G106" s="76">
        <f t="shared" si="38"/>
        <v>6.7873125723945715E-2</v>
      </c>
      <c r="H106" s="76">
        <f t="shared" si="38"/>
        <v>6.9909319495664049E-2</v>
      </c>
      <c r="I106" s="76">
        <f t="shared" si="38"/>
        <v>7.2006599080534028E-2</v>
      </c>
      <c r="J106" s="76">
        <f t="shared" si="38"/>
        <v>7.4166797052949998E-2</v>
      </c>
      <c r="K106" s="76">
        <f t="shared" si="38"/>
        <v>7.6391800964538528E-2</v>
      </c>
      <c r="L106" s="76">
        <f t="shared" si="38"/>
        <v>7.8683554993474708E-2</v>
      </c>
      <c r="M106" s="76">
        <f t="shared" si="38"/>
        <v>8.1044061643278931E-2</v>
      </c>
      <c r="N106" s="76">
        <f t="shared" si="38"/>
        <v>8.3475383492577299E-2</v>
      </c>
    </row>
    <row r="107" spans="1:19" s="16" customFormat="1">
      <c r="A107" s="13"/>
      <c r="B107" s="347" t="s">
        <v>99</v>
      </c>
      <c r="D107" s="75">
        <f t="shared" ref="D107:N107" si="39">D79/$C$11</f>
        <v>9.403967866380665E-2</v>
      </c>
      <c r="E107" s="76">
        <f t="shared" si="39"/>
        <v>0.10223417514085963</v>
      </c>
      <c r="F107" s="76">
        <f t="shared" si="39"/>
        <v>0.10735270285255984</v>
      </c>
      <c r="G107" s="76">
        <f t="shared" si="39"/>
        <v>8.2754037082036422E-2</v>
      </c>
      <c r="H107" s="76">
        <f t="shared" si="39"/>
        <v>8.8465660565117302E-2</v>
      </c>
      <c r="I107" s="76">
        <f t="shared" si="39"/>
        <v>9.434863275269087E-2</v>
      </c>
      <c r="J107" s="76">
        <f t="shared" si="39"/>
        <v>0.1004080941058914</v>
      </c>
      <c r="K107" s="76">
        <f t="shared" si="39"/>
        <v>0.21428275165368452</v>
      </c>
      <c r="L107" s="76">
        <f t="shared" si="39"/>
        <v>0.22071123420329511</v>
      </c>
      <c r="M107" s="76">
        <f t="shared" si="39"/>
        <v>0.22733257122939393</v>
      </c>
      <c r="N107" s="76">
        <f t="shared" si="39"/>
        <v>0.23415254836627572</v>
      </c>
    </row>
    <row r="108" spans="1:19" s="16" customFormat="1">
      <c r="A108" s="13"/>
      <c r="B108" s="347" t="str">
        <f>""&amp;TEXT($C$28,"0")&amp;" YR AVG Cash Return"</f>
        <v>7 YR AVG Cash Return</v>
      </c>
      <c r="D108" s="77">
        <f>AVERAGE(D112:N112)</f>
        <v>9.5657568737566007E-2</v>
      </c>
      <c r="E108" s="70"/>
      <c r="F108" s="70"/>
      <c r="G108" s="70"/>
      <c r="H108" s="70"/>
      <c r="I108" s="70"/>
      <c r="J108" s="70"/>
      <c r="K108" s="70"/>
      <c r="L108" s="70"/>
      <c r="M108" s="70"/>
      <c r="N108" s="70"/>
    </row>
    <row r="109" spans="1:19" s="80" customFormat="1" ht="6" hidden="1" customHeight="1">
      <c r="A109" s="7"/>
      <c r="B109" s="7"/>
      <c r="C109" s="78"/>
      <c r="D109" s="79" t="e">
        <f>#REF!</f>
        <v>#REF!</v>
      </c>
      <c r="E109" s="79" t="e">
        <f>#REF!</f>
        <v>#REF!</v>
      </c>
      <c r="F109" s="79" t="e">
        <f>#REF!</f>
        <v>#REF!</v>
      </c>
      <c r="G109" s="79" t="e">
        <f>#REF!</f>
        <v>#REF!</v>
      </c>
      <c r="H109" s="79" t="e">
        <f>#REF!</f>
        <v>#REF!</v>
      </c>
      <c r="I109" s="79" t="e">
        <f>#REF!</f>
        <v>#REF!</v>
      </c>
      <c r="J109" s="79" t="e">
        <f>#REF!</f>
        <v>#REF!</v>
      </c>
      <c r="K109" s="79" t="e">
        <f>#REF!</f>
        <v>#REF!</v>
      </c>
      <c r="L109" s="79" t="e">
        <f>#REF!</f>
        <v>#REF!</v>
      </c>
      <c r="M109" s="79" t="e">
        <f>#REF!</f>
        <v>#REF!</v>
      </c>
      <c r="N109" s="79" t="e">
        <f>#REF!</f>
        <v>#REF!</v>
      </c>
    </row>
    <row r="110" spans="1:19" s="8" customFormat="1" ht="5.0999999999999996" customHeight="1">
      <c r="C110" s="81"/>
      <c r="D110" s="82"/>
      <c r="E110" s="83"/>
      <c r="F110" s="83"/>
      <c r="G110" s="83"/>
      <c r="H110" s="83"/>
      <c r="I110" s="83"/>
      <c r="J110" s="83"/>
      <c r="K110" s="83"/>
      <c r="L110" s="83"/>
      <c r="M110" s="83"/>
      <c r="N110" s="83"/>
    </row>
    <row r="111" spans="1:19" s="8" customFormat="1">
      <c r="B111" s="34"/>
      <c r="C111" s="35"/>
      <c r="D111" s="36">
        <v>1</v>
      </c>
      <c r="E111" s="36">
        <v>2</v>
      </c>
      <c r="F111" s="36">
        <v>3</v>
      </c>
      <c r="G111" s="36">
        <v>4</v>
      </c>
      <c r="H111" s="36">
        <v>5</v>
      </c>
      <c r="I111" s="36">
        <v>6</v>
      </c>
      <c r="J111" s="36">
        <v>7</v>
      </c>
      <c r="K111" s="36">
        <v>8</v>
      </c>
      <c r="L111" s="36">
        <v>9</v>
      </c>
      <c r="M111" s="36">
        <v>10</v>
      </c>
      <c r="N111" s="36">
        <v>11</v>
      </c>
      <c r="Q111" s="12"/>
      <c r="R111" s="12"/>
      <c r="S111" s="12"/>
    </row>
    <row r="112" spans="1:19" s="8" customFormat="1">
      <c r="B112" s="347" t="str">
        <f>""&amp;TEXT($C$28,"0")&amp;" YR AVG Cash Return Calculation"</f>
        <v>7 YR AVG Cash Return Calculation</v>
      </c>
      <c r="C112" s="81"/>
      <c r="D112" s="348">
        <f t="shared" ref="D112:N112" si="40">IF($C$29&gt;D41,D107,"")</f>
        <v>9.403967866380665E-2</v>
      </c>
      <c r="E112" s="348">
        <f t="shared" si="40"/>
        <v>0.10223417514085963</v>
      </c>
      <c r="F112" s="348">
        <f t="shared" si="40"/>
        <v>0.10735270285255984</v>
      </c>
      <c r="G112" s="348">
        <f t="shared" si="40"/>
        <v>8.2754037082036422E-2</v>
      </c>
      <c r="H112" s="348">
        <f t="shared" si="40"/>
        <v>8.8465660565117302E-2</v>
      </c>
      <c r="I112" s="348">
        <f t="shared" si="40"/>
        <v>9.434863275269087E-2</v>
      </c>
      <c r="J112" s="348">
        <f t="shared" si="40"/>
        <v>0.1004080941058914</v>
      </c>
      <c r="K112" s="348" t="str">
        <f t="shared" si="40"/>
        <v/>
      </c>
      <c r="L112" s="348" t="str">
        <f t="shared" si="40"/>
        <v/>
      </c>
      <c r="M112" s="348" t="str">
        <f t="shared" si="40"/>
        <v/>
      </c>
      <c r="N112" s="348" t="str">
        <f t="shared" si="40"/>
        <v/>
      </c>
    </row>
    <row r="113" spans="3:19" s="8" customFormat="1">
      <c r="C113" s="81"/>
      <c r="D113" s="81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Q113" s="12"/>
      <c r="R113" s="12"/>
      <c r="S113" s="12"/>
    </row>
    <row r="114" spans="3:19" s="8" customFormat="1">
      <c r="C114" s="81"/>
      <c r="D114" s="81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Q114" s="12"/>
      <c r="R114" s="12"/>
      <c r="S114" s="12"/>
    </row>
    <row r="115" spans="3:19" s="8" customFormat="1">
      <c r="C115" s="81"/>
      <c r="D115" s="81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Q115" s="12"/>
      <c r="R115" s="12"/>
      <c r="S115" s="12"/>
    </row>
    <row r="116" spans="3:19" s="8" customFormat="1">
      <c r="C116" s="81"/>
      <c r="D116" s="81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Q116" s="12"/>
      <c r="R116" s="12"/>
      <c r="S116" s="12"/>
    </row>
    <row r="117" spans="3:19" s="8" customFormat="1">
      <c r="C117" s="81"/>
      <c r="D117" s="81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Q117" s="12"/>
      <c r="R117" s="12"/>
      <c r="S117" s="12"/>
    </row>
    <row r="118" spans="3:19" s="8" customFormat="1">
      <c r="C118" s="81"/>
      <c r="D118" s="81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Q118" s="12"/>
      <c r="R118" s="12"/>
      <c r="S118" s="12"/>
    </row>
    <row r="119" spans="3:19" s="8" customFormat="1">
      <c r="C119" s="81"/>
      <c r="D119" s="81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Q119" s="12"/>
      <c r="R119" s="12"/>
      <c r="S119" s="12"/>
    </row>
    <row r="120" spans="3:19" s="8" customFormat="1">
      <c r="C120" s="81"/>
      <c r="D120" s="81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Q120" s="12"/>
      <c r="R120" s="12"/>
      <c r="S120" s="12"/>
    </row>
    <row r="121" spans="3:19" s="8" customFormat="1">
      <c r="C121" s="81"/>
      <c r="D121" s="81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Q121" s="12"/>
      <c r="R121" s="12"/>
      <c r="S121" s="12"/>
    </row>
    <row r="122" spans="3:19" s="8" customFormat="1">
      <c r="C122" s="81"/>
      <c r="D122" s="81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Q122" s="12"/>
      <c r="R122" s="12"/>
      <c r="S122" s="12"/>
    </row>
    <row r="123" spans="3:19" s="8" customFormat="1">
      <c r="C123" s="81"/>
      <c r="D123" s="81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Q123" s="12"/>
      <c r="R123" s="12"/>
      <c r="S123" s="12"/>
    </row>
    <row r="124" spans="3:19" s="8" customFormat="1">
      <c r="C124" s="81"/>
      <c r="D124" s="81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Q124" s="12"/>
      <c r="R124" s="12"/>
      <c r="S124" s="12"/>
    </row>
    <row r="125" spans="3:19" s="8" customFormat="1">
      <c r="C125" s="81"/>
      <c r="D125" s="81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Q125" s="12"/>
      <c r="R125" s="12"/>
      <c r="S125" s="12"/>
    </row>
    <row r="126" spans="3:19" s="8" customFormat="1">
      <c r="C126" s="81"/>
      <c r="D126" s="81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Q126" s="12"/>
      <c r="R126" s="12"/>
      <c r="S126" s="12"/>
    </row>
    <row r="127" spans="3:19" s="8" customFormat="1">
      <c r="C127" s="81"/>
      <c r="D127" s="81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Q127" s="12"/>
      <c r="R127" s="12"/>
      <c r="S127" s="12"/>
    </row>
    <row r="128" spans="3:19" s="8" customFormat="1">
      <c r="C128" s="81"/>
      <c r="D128" s="81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Q128" s="12"/>
      <c r="R128" s="12"/>
      <c r="S128" s="12"/>
    </row>
    <row r="129" spans="3:19" s="8" customFormat="1">
      <c r="C129" s="81"/>
      <c r="D129" s="81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Q129" s="12"/>
      <c r="R129" s="12"/>
      <c r="S129" s="12"/>
    </row>
    <row r="130" spans="3:19" s="8" customFormat="1">
      <c r="C130" s="81"/>
      <c r="D130" s="81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Q130" s="12"/>
      <c r="R130" s="12"/>
      <c r="S130" s="12"/>
    </row>
    <row r="131" spans="3:19" s="8" customFormat="1">
      <c r="C131" s="81"/>
      <c r="D131" s="81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Q131" s="12"/>
      <c r="R131" s="12"/>
      <c r="S131" s="12"/>
    </row>
    <row r="132" spans="3:19" s="8" customFormat="1">
      <c r="C132" s="81"/>
      <c r="D132" s="81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Q132" s="12"/>
      <c r="R132" s="12"/>
      <c r="S132" s="12"/>
    </row>
    <row r="133" spans="3:19" s="8" customFormat="1">
      <c r="C133" s="81"/>
      <c r="D133" s="81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Q133" s="12"/>
      <c r="R133" s="12"/>
      <c r="S133" s="12"/>
    </row>
    <row r="134" spans="3:19" s="8" customFormat="1">
      <c r="C134" s="81"/>
      <c r="D134" s="81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Q134" s="12"/>
      <c r="R134" s="12"/>
      <c r="S134" s="12"/>
    </row>
    <row r="135" spans="3:19" s="8" customFormat="1">
      <c r="C135" s="81"/>
      <c r="D135" s="81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Q135" s="12"/>
      <c r="R135" s="12"/>
      <c r="S135" s="12"/>
    </row>
    <row r="136" spans="3:19" s="8" customFormat="1">
      <c r="C136" s="81"/>
      <c r="D136" s="81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Q136" s="12"/>
      <c r="R136" s="12"/>
      <c r="S136" s="12"/>
    </row>
    <row r="137" spans="3:19" s="8" customFormat="1">
      <c r="C137" s="81"/>
      <c r="D137" s="81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Q137" s="12"/>
      <c r="R137" s="12"/>
      <c r="S137" s="12"/>
    </row>
    <row r="138" spans="3:19" s="8" customFormat="1">
      <c r="C138" s="81"/>
      <c r="D138" s="81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Q138" s="12"/>
      <c r="R138" s="12"/>
      <c r="S138" s="12"/>
    </row>
    <row r="139" spans="3:19" s="8" customFormat="1">
      <c r="C139" s="81"/>
      <c r="D139" s="81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Q139" s="12"/>
      <c r="R139" s="12"/>
      <c r="S139" s="12"/>
    </row>
    <row r="140" spans="3:19" s="8" customFormat="1">
      <c r="C140" s="81"/>
      <c r="D140" s="81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Q140" s="12"/>
      <c r="R140" s="12"/>
      <c r="S140" s="12"/>
    </row>
    <row r="141" spans="3:19" s="8" customFormat="1">
      <c r="C141" s="81"/>
      <c r="D141" s="81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Q141" s="12"/>
      <c r="R141" s="12"/>
      <c r="S141" s="12"/>
    </row>
    <row r="142" spans="3:19" s="8" customFormat="1">
      <c r="C142" s="81"/>
      <c r="D142" s="81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Q142" s="12"/>
      <c r="R142" s="12"/>
      <c r="S142" s="12"/>
    </row>
    <row r="143" spans="3:19" s="8" customFormat="1">
      <c r="C143" s="81"/>
      <c r="D143" s="81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Q143" s="12"/>
      <c r="R143" s="12"/>
      <c r="S143" s="12"/>
    </row>
    <row r="144" spans="3:19" s="8" customFormat="1">
      <c r="C144" s="81"/>
      <c r="D144" s="81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Q144" s="12"/>
      <c r="R144" s="12"/>
      <c r="S144" s="12"/>
    </row>
    <row r="145" spans="3:19" s="8" customFormat="1">
      <c r="C145" s="81"/>
      <c r="D145" s="81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Q145" s="12"/>
      <c r="R145" s="12"/>
      <c r="S145" s="12"/>
    </row>
    <row r="146" spans="3:19" s="8" customFormat="1">
      <c r="C146" s="81"/>
      <c r="D146" s="81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Q146" s="12"/>
      <c r="R146" s="12"/>
      <c r="S146" s="12"/>
    </row>
    <row r="147" spans="3:19" s="8" customFormat="1">
      <c r="C147" s="81"/>
      <c r="D147" s="81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Q147" s="12"/>
      <c r="R147" s="12"/>
      <c r="S147" s="12"/>
    </row>
    <row r="148" spans="3:19" s="8" customFormat="1">
      <c r="C148" s="81"/>
      <c r="D148" s="81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Q148" s="12"/>
      <c r="R148" s="12"/>
      <c r="S148" s="12"/>
    </row>
    <row r="149" spans="3:19" s="8" customFormat="1">
      <c r="C149" s="81"/>
      <c r="D149" s="81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Q149" s="12"/>
      <c r="R149" s="12"/>
      <c r="S149" s="12"/>
    </row>
    <row r="150" spans="3:19" s="8" customFormat="1">
      <c r="C150" s="81"/>
      <c r="D150" s="81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Q150" s="12"/>
      <c r="R150" s="12"/>
      <c r="S150" s="12"/>
    </row>
    <row r="151" spans="3:19" s="8" customFormat="1">
      <c r="C151" s="81"/>
      <c r="D151" s="81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Q151" s="12"/>
      <c r="R151" s="12"/>
      <c r="S151" s="12"/>
    </row>
    <row r="152" spans="3:19" s="8" customFormat="1">
      <c r="C152" s="81"/>
      <c r="D152" s="81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Q152" s="12"/>
      <c r="R152" s="12"/>
      <c r="S152" s="12"/>
    </row>
    <row r="153" spans="3:19" s="8" customFormat="1">
      <c r="C153" s="81"/>
      <c r="D153" s="81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Q153" s="12"/>
      <c r="R153" s="12"/>
      <c r="S153" s="12"/>
    </row>
    <row r="154" spans="3:19" s="8" customFormat="1">
      <c r="C154" s="81"/>
      <c r="D154" s="81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Q154" s="12"/>
      <c r="R154" s="12"/>
      <c r="S154" s="12"/>
    </row>
    <row r="155" spans="3:19" s="8" customFormat="1">
      <c r="C155" s="81"/>
      <c r="D155" s="81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Q155" s="12"/>
      <c r="R155" s="12"/>
      <c r="S155" s="12"/>
    </row>
    <row r="156" spans="3:19" s="8" customFormat="1">
      <c r="C156" s="81"/>
      <c r="D156" s="81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Q156" s="12"/>
      <c r="R156" s="12"/>
      <c r="S156" s="12"/>
    </row>
    <row r="157" spans="3:19" s="8" customFormat="1">
      <c r="C157" s="81"/>
      <c r="D157" s="81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Q157" s="12"/>
      <c r="R157" s="12"/>
      <c r="S157" s="12"/>
    </row>
    <row r="158" spans="3:19" s="8" customFormat="1">
      <c r="C158" s="81"/>
      <c r="D158" s="81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Q158" s="12"/>
      <c r="R158" s="12"/>
      <c r="S158" s="12"/>
    </row>
    <row r="159" spans="3:19" s="8" customFormat="1">
      <c r="C159" s="81"/>
      <c r="D159" s="81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Q159" s="12"/>
      <c r="R159" s="12"/>
      <c r="S159" s="12"/>
    </row>
    <row r="160" spans="3:19" s="8" customFormat="1">
      <c r="C160" s="81"/>
      <c r="D160" s="81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Q160" s="12"/>
      <c r="R160" s="12"/>
      <c r="S160" s="12"/>
    </row>
    <row r="161" spans="3:19" s="8" customFormat="1">
      <c r="C161" s="81"/>
      <c r="D161" s="81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Q161" s="12"/>
      <c r="R161" s="12"/>
      <c r="S161" s="12"/>
    </row>
    <row r="162" spans="3:19" s="8" customFormat="1">
      <c r="C162" s="81"/>
      <c r="D162" s="81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Q162" s="12"/>
      <c r="R162" s="12"/>
      <c r="S162" s="12"/>
    </row>
    <row r="163" spans="3:19" s="8" customFormat="1">
      <c r="C163" s="81"/>
      <c r="D163" s="81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Q163" s="12"/>
      <c r="R163" s="12"/>
      <c r="S163" s="12"/>
    </row>
    <row r="164" spans="3:19" s="8" customFormat="1">
      <c r="C164" s="81"/>
      <c r="D164" s="81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Q164" s="12"/>
      <c r="R164" s="12"/>
      <c r="S164" s="12"/>
    </row>
    <row r="165" spans="3:19" s="8" customFormat="1">
      <c r="C165" s="81"/>
      <c r="D165" s="81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Q165" s="12"/>
      <c r="R165" s="12"/>
      <c r="S165" s="12"/>
    </row>
    <row r="166" spans="3:19" s="8" customFormat="1">
      <c r="C166" s="68"/>
      <c r="D166" s="68"/>
      <c r="Q166" s="12"/>
      <c r="R166" s="12"/>
      <c r="S166" s="12"/>
    </row>
    <row r="167" spans="3:19" s="8" customFormat="1">
      <c r="C167" s="68"/>
      <c r="D167" s="68"/>
      <c r="Q167" s="12"/>
      <c r="R167" s="12"/>
      <c r="S167" s="12"/>
    </row>
    <row r="168" spans="3:19" s="8" customFormat="1">
      <c r="C168" s="68"/>
      <c r="D168" s="68"/>
      <c r="Q168" s="12"/>
      <c r="R168" s="12"/>
      <c r="S168" s="12"/>
    </row>
    <row r="169" spans="3:19" s="8" customFormat="1">
      <c r="C169" s="68"/>
      <c r="D169" s="68"/>
      <c r="Q169" s="12"/>
      <c r="R169" s="12"/>
      <c r="S169" s="12"/>
    </row>
    <row r="170" spans="3:19" s="8" customFormat="1">
      <c r="C170" s="68"/>
      <c r="D170" s="68"/>
      <c r="Q170" s="12"/>
      <c r="R170" s="12"/>
      <c r="S170" s="12"/>
    </row>
    <row r="171" spans="3:19" s="8" customFormat="1">
      <c r="C171" s="68"/>
      <c r="D171" s="68"/>
      <c r="Q171" s="12"/>
      <c r="R171" s="12"/>
      <c r="S171" s="12"/>
    </row>
  </sheetData>
  <printOptions horizontalCentered="1"/>
  <pageMargins left="0.25" right="0.25" top="0.75" bottom="0.75" header="0.3" footer="0.3"/>
  <pageSetup paperSize="5" scale="75" fitToHeight="3" orientation="landscape" r:id="rId1"/>
  <headerFooter alignWithMargins="0">
    <oddHeader>&amp;A</oddHeader>
    <oddFooter>&amp;L&amp;B Confidential&amp;B&amp;C&amp;D&amp;RPage &amp;P</oddFooter>
  </headerFooter>
  <rowBreaks count="2" manualBreakCount="2">
    <brk id="40" min="1" max="13" man="1"/>
    <brk id="92" min="1" max="1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66"/>
  <sheetViews>
    <sheetView showGridLines="0" zoomScale="75" zoomScaleNormal="75" zoomScaleSheetLayoutView="77" workbookViewId="0">
      <pane xSplit="2" ySplit="6" topLeftCell="C7" activePane="bottomRight" state="frozen"/>
      <selection activeCell="L737" sqref="L737"/>
      <selection pane="topRight" activeCell="L737" sqref="L737"/>
      <selection pane="bottomLeft" activeCell="L737" sqref="L737"/>
      <selection pane="bottomRight" activeCell="C7" sqref="C7"/>
    </sheetView>
  </sheetViews>
  <sheetFormatPr defaultColWidth="9.140625" defaultRowHeight="15" outlineLevelCol="1"/>
  <cols>
    <col min="1" max="1" width="1.7109375" style="85" customWidth="1"/>
    <col min="2" max="2" width="38" style="85" customWidth="1"/>
    <col min="3" max="3" width="1.7109375" style="85" customWidth="1"/>
    <col min="4" max="7" width="15.7109375" style="85" customWidth="1" outlineLevel="1"/>
    <col min="8" max="18" width="13.28515625" style="85" customWidth="1" outlineLevel="1"/>
    <col min="19" max="19" width="1.7109375" style="91" customWidth="1" outlineLevel="1"/>
    <col min="20" max="21" width="15.7109375" style="85" customWidth="1"/>
    <col min="22" max="22" width="1.7109375" style="90" customWidth="1"/>
    <col min="23" max="24" width="15.7109375" style="85" customWidth="1"/>
    <col min="25" max="25" width="1.7109375" style="90" customWidth="1"/>
    <col min="26" max="27" width="15.7109375" style="85" customWidth="1"/>
    <col min="28" max="28" width="1.7109375" style="90" customWidth="1"/>
    <col min="29" max="30" width="15.7109375" style="85" customWidth="1"/>
    <col min="31" max="31" width="1.7109375" style="90" customWidth="1"/>
    <col min="32" max="33" width="15.7109375" style="85" customWidth="1"/>
    <col min="34" max="34" width="1.7109375" style="85" customWidth="1"/>
    <col min="35" max="36" width="15.7109375" style="85" customWidth="1"/>
    <col min="37" max="37" width="1.7109375" style="85" customWidth="1"/>
    <col min="38" max="38" width="20.7109375" style="85" customWidth="1"/>
    <col min="39" max="39" width="1.7109375" style="85" customWidth="1"/>
    <col min="40" max="40" width="15.7109375" style="85" customWidth="1"/>
    <col min="41" max="41" width="1.7109375" style="85" customWidth="1"/>
    <col min="42" max="42" width="15.7109375" style="85" customWidth="1"/>
    <col min="43" max="43" width="1.7109375" style="85" customWidth="1"/>
    <col min="44" max="44" width="15.7109375" style="85" customWidth="1"/>
    <col min="45" max="45" width="1.7109375" style="85" customWidth="1"/>
    <col min="46" max="46" width="15.7109375" style="85" customWidth="1"/>
    <col min="47" max="16384" width="9.140625" style="85"/>
  </cols>
  <sheetData>
    <row r="1" spans="2:46" ht="5.0999999999999996" customHeight="1">
      <c r="AI1" s="86"/>
      <c r="AJ1" s="86"/>
      <c r="AK1" s="86"/>
    </row>
    <row r="2" spans="2:46" ht="18.75" customHeight="1">
      <c r="B2" s="88" t="str">
        <f>Description!C4</f>
        <v>Building I Want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9"/>
      <c r="W2" s="88"/>
      <c r="X2" s="88"/>
      <c r="Y2" s="89"/>
      <c r="Z2" s="88"/>
      <c r="AA2" s="88"/>
      <c r="AB2" s="89"/>
      <c r="AC2" s="88"/>
      <c r="AD2" s="88"/>
      <c r="AE2" s="89"/>
      <c r="AF2" s="88"/>
      <c r="AG2" s="88"/>
      <c r="AI2" s="88" t="s">
        <v>203</v>
      </c>
      <c r="AJ2" s="89"/>
      <c r="AK2" s="89"/>
      <c r="AL2" s="88"/>
      <c r="AN2" s="88" t="s">
        <v>206</v>
      </c>
      <c r="AO2" s="88"/>
      <c r="AP2" s="88"/>
      <c r="AQ2" s="88"/>
      <c r="AR2" s="88"/>
      <c r="AS2" s="88"/>
      <c r="AT2" s="88"/>
    </row>
    <row r="3" spans="2:46" ht="18.75">
      <c r="B3" s="112" t="s">
        <v>0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4"/>
      <c r="T3" s="113"/>
      <c r="U3" s="113"/>
      <c r="V3" s="115"/>
      <c r="W3" s="113"/>
      <c r="X3" s="113"/>
      <c r="Y3" s="115"/>
      <c r="Z3" s="113"/>
      <c r="AA3" s="113"/>
      <c r="AB3" s="115"/>
      <c r="AC3" s="113"/>
      <c r="AD3" s="113"/>
      <c r="AE3" s="115"/>
      <c r="AF3" s="113"/>
      <c r="AG3" s="113"/>
      <c r="AI3" s="112" t="s">
        <v>218</v>
      </c>
      <c r="AJ3" s="395"/>
      <c r="AK3" s="395"/>
      <c r="AL3" s="394"/>
      <c r="AM3" s="91"/>
      <c r="AN3" s="112" t="s">
        <v>220</v>
      </c>
      <c r="AO3" s="395"/>
      <c r="AP3" s="395"/>
      <c r="AQ3" s="394"/>
      <c r="AR3" s="112"/>
      <c r="AS3" s="395"/>
      <c r="AT3" s="395"/>
    </row>
    <row r="4" spans="2:46" ht="16.5" customHeight="1">
      <c r="B4" s="112" t="str">
        <f>"For Month Ending "&amp;TEXT(R5,"mmmmmmmmm yyyy")&amp;""</f>
        <v>For Month Ending March 2017</v>
      </c>
      <c r="C4" s="115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4"/>
      <c r="T4" s="113"/>
      <c r="U4" s="113"/>
      <c r="V4" s="115"/>
      <c r="W4" s="113"/>
      <c r="X4" s="113"/>
      <c r="Y4" s="115"/>
      <c r="Z4" s="113"/>
      <c r="AA4" s="113"/>
      <c r="AB4" s="115"/>
      <c r="AC4" s="113"/>
      <c r="AD4" s="113"/>
      <c r="AE4" s="115"/>
      <c r="AF4" s="113"/>
      <c r="AG4" s="113"/>
      <c r="AI4" s="112" t="s">
        <v>219</v>
      </c>
      <c r="AJ4" s="395"/>
      <c r="AK4" s="395"/>
      <c r="AL4" s="394"/>
      <c r="AM4" s="91"/>
      <c r="AN4" s="412"/>
      <c r="AO4" s="412"/>
      <c r="AP4" s="412"/>
      <c r="AQ4" s="412"/>
      <c r="AR4" s="412"/>
      <c r="AS4" s="412"/>
      <c r="AT4" s="412"/>
    </row>
    <row r="5" spans="2:46" ht="15" customHeight="1">
      <c r="B5" s="116"/>
      <c r="C5" s="117"/>
      <c r="D5" s="387">
        <f t="shared" ref="D5:Q5" si="0">EOMONTH(E5,-1)</f>
        <v>42400</v>
      </c>
      <c r="E5" s="387">
        <f t="shared" si="0"/>
        <v>42429</v>
      </c>
      <c r="F5" s="387">
        <f t="shared" si="0"/>
        <v>42460</v>
      </c>
      <c r="G5" s="387">
        <f t="shared" si="0"/>
        <v>42490</v>
      </c>
      <c r="H5" s="387">
        <f t="shared" si="0"/>
        <v>42521</v>
      </c>
      <c r="I5" s="387">
        <f t="shared" si="0"/>
        <v>42551</v>
      </c>
      <c r="J5" s="387">
        <f t="shared" si="0"/>
        <v>42582</v>
      </c>
      <c r="K5" s="387">
        <f t="shared" si="0"/>
        <v>42613</v>
      </c>
      <c r="L5" s="387">
        <f t="shared" si="0"/>
        <v>42643</v>
      </c>
      <c r="M5" s="387">
        <f t="shared" si="0"/>
        <v>42674</v>
      </c>
      <c r="N5" s="387">
        <f t="shared" si="0"/>
        <v>42704</v>
      </c>
      <c r="O5" s="387">
        <f t="shared" si="0"/>
        <v>42735</v>
      </c>
      <c r="P5" s="387">
        <f t="shared" si="0"/>
        <v>42766</v>
      </c>
      <c r="Q5" s="387">
        <f t="shared" si="0"/>
        <v>42794</v>
      </c>
      <c r="R5" s="388">
        <f>Projection!C17</f>
        <v>42825</v>
      </c>
      <c r="S5" s="118"/>
      <c r="T5" s="443" t="s">
        <v>1</v>
      </c>
      <c r="U5" s="443" t="s">
        <v>1</v>
      </c>
      <c r="V5" s="418"/>
      <c r="W5" s="443" t="s">
        <v>2</v>
      </c>
      <c r="X5" s="443" t="s">
        <v>2</v>
      </c>
      <c r="Y5" s="418"/>
      <c r="Z5" s="443" t="s">
        <v>3</v>
      </c>
      <c r="AA5" s="443" t="s">
        <v>3</v>
      </c>
      <c r="AB5" s="418"/>
      <c r="AC5" s="443" t="s">
        <v>4</v>
      </c>
      <c r="AD5" s="443" t="s">
        <v>4</v>
      </c>
      <c r="AE5" s="418"/>
      <c r="AF5" s="443" t="s">
        <v>5</v>
      </c>
      <c r="AG5" s="443" t="s">
        <v>5</v>
      </c>
      <c r="AI5" s="119" t="s">
        <v>135</v>
      </c>
      <c r="AJ5" s="119" t="s">
        <v>135</v>
      </c>
      <c r="AK5" s="90"/>
      <c r="AL5" s="119" t="s">
        <v>79</v>
      </c>
      <c r="AM5" s="91"/>
      <c r="AN5" s="119" t="str">
        <f>'Trailing-12 &amp; Pro Forma'!Z5</f>
        <v>Trailing 6</v>
      </c>
      <c r="AO5" s="91"/>
      <c r="AP5" s="119" t="str">
        <f>'Trailing-12 &amp; Pro Forma'!AC5</f>
        <v>Trailing 3</v>
      </c>
      <c r="AQ5" s="91"/>
      <c r="AR5" s="119" t="str">
        <f>'Trailing-12 &amp; Pro Forma'!AF5</f>
        <v>Trailing 1</v>
      </c>
      <c r="AS5" s="91"/>
      <c r="AT5" s="119" t="s">
        <v>205</v>
      </c>
    </row>
    <row r="6" spans="2:46">
      <c r="B6" s="120"/>
      <c r="C6" s="117"/>
      <c r="D6" s="121" t="s">
        <v>6</v>
      </c>
      <c r="E6" s="121" t="s">
        <v>6</v>
      </c>
      <c r="F6" s="121" t="s">
        <v>6</v>
      </c>
      <c r="G6" s="121" t="s">
        <v>6</v>
      </c>
      <c r="H6" s="121" t="s">
        <v>6</v>
      </c>
      <c r="I6" s="121" t="s">
        <v>6</v>
      </c>
      <c r="J6" s="121" t="s">
        <v>6</v>
      </c>
      <c r="K6" s="121" t="s">
        <v>6</v>
      </c>
      <c r="L6" s="121" t="s">
        <v>6</v>
      </c>
      <c r="M6" s="121" t="s">
        <v>6</v>
      </c>
      <c r="N6" s="121" t="s">
        <v>6</v>
      </c>
      <c r="O6" s="121" t="s">
        <v>6</v>
      </c>
      <c r="P6" s="121" t="s">
        <v>6</v>
      </c>
      <c r="Q6" s="121" t="s">
        <v>6</v>
      </c>
      <c r="R6" s="121" t="s">
        <v>6</v>
      </c>
      <c r="S6" s="122"/>
      <c r="T6" s="443" t="s">
        <v>7</v>
      </c>
      <c r="U6" s="443" t="s">
        <v>101</v>
      </c>
      <c r="V6" s="418"/>
      <c r="W6" s="443" t="s">
        <v>8</v>
      </c>
      <c r="X6" s="443" t="s">
        <v>101</v>
      </c>
      <c r="Y6" s="418"/>
      <c r="Z6" s="443" t="s">
        <v>8</v>
      </c>
      <c r="AA6" s="443" t="s">
        <v>101</v>
      </c>
      <c r="AB6" s="418"/>
      <c r="AC6" s="443" t="s">
        <v>8</v>
      </c>
      <c r="AD6" s="443" t="s">
        <v>101</v>
      </c>
      <c r="AE6" s="418"/>
      <c r="AF6" s="443" t="s">
        <v>8</v>
      </c>
      <c r="AG6" s="443" t="s">
        <v>101</v>
      </c>
      <c r="AI6" s="123" t="s">
        <v>162</v>
      </c>
      <c r="AJ6" s="123" t="s">
        <v>169</v>
      </c>
      <c r="AK6" s="90"/>
      <c r="AL6" s="123" t="s">
        <v>103</v>
      </c>
      <c r="AM6" s="91"/>
      <c r="AN6" s="123" t="s">
        <v>169</v>
      </c>
      <c r="AO6" s="91"/>
      <c r="AP6" s="123" t="s">
        <v>169</v>
      </c>
      <c r="AQ6" s="91"/>
      <c r="AR6" s="123" t="s">
        <v>169</v>
      </c>
      <c r="AS6" s="91"/>
      <c r="AT6" s="123" t="s">
        <v>169</v>
      </c>
    </row>
    <row r="7" spans="2:46">
      <c r="B7" s="92" t="s">
        <v>36</v>
      </c>
      <c r="C7" s="101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4"/>
      <c r="T7" s="86"/>
      <c r="U7" s="86"/>
      <c r="W7" s="86"/>
      <c r="X7" s="86"/>
      <c r="Z7" s="86"/>
      <c r="AA7" s="86"/>
      <c r="AC7" s="86"/>
      <c r="AD7" s="86"/>
      <c r="AF7" s="86"/>
      <c r="AG7" s="86"/>
      <c r="AI7" s="86"/>
      <c r="AJ7" s="86"/>
      <c r="AK7" s="86"/>
      <c r="AL7" s="86"/>
      <c r="AM7" s="86"/>
      <c r="AO7" s="86"/>
    </row>
    <row r="8" spans="2:46">
      <c r="B8" s="92" t="s">
        <v>9</v>
      </c>
      <c r="C8" s="101"/>
      <c r="D8" s="375"/>
      <c r="E8" s="375"/>
      <c r="F8" s="375"/>
      <c r="G8" s="375"/>
      <c r="H8" s="375"/>
      <c r="I8" s="375"/>
      <c r="J8" s="375"/>
      <c r="K8" s="375"/>
      <c r="L8" s="375"/>
      <c r="M8" s="375"/>
      <c r="N8" s="375"/>
      <c r="O8" s="375"/>
      <c r="P8" s="375"/>
      <c r="Q8" s="375"/>
      <c r="R8" s="375"/>
      <c r="S8" s="90"/>
      <c r="T8" s="86"/>
      <c r="U8" s="86"/>
      <c r="W8" s="86"/>
      <c r="X8" s="86"/>
      <c r="Z8" s="86"/>
      <c r="AA8" s="86"/>
      <c r="AC8" s="86"/>
      <c r="AD8" s="86"/>
      <c r="AF8" s="86"/>
      <c r="AG8" s="86"/>
      <c r="AI8" s="86"/>
      <c r="AJ8" s="86"/>
      <c r="AK8" s="86"/>
      <c r="AL8" s="86"/>
      <c r="AM8" s="86"/>
      <c r="AO8" s="86"/>
    </row>
    <row r="9" spans="2:46">
      <c r="B9" s="410" t="s">
        <v>200</v>
      </c>
      <c r="C9" s="90"/>
      <c r="D9" s="125">
        <v>707145.24</v>
      </c>
      <c r="E9" s="125">
        <v>708823.83</v>
      </c>
      <c r="F9" s="125">
        <v>708186.29</v>
      </c>
      <c r="G9" s="125">
        <v>697354.79</v>
      </c>
      <c r="H9" s="125">
        <v>701321.28</v>
      </c>
      <c r="I9" s="125">
        <v>695826.65</v>
      </c>
      <c r="J9" s="125">
        <v>714512.74</v>
      </c>
      <c r="K9" s="125">
        <v>699347.08</v>
      </c>
      <c r="L9" s="125">
        <v>705633.92</v>
      </c>
      <c r="M9" s="125">
        <v>710728.46</v>
      </c>
      <c r="N9" s="125">
        <v>715112.98</v>
      </c>
      <c r="O9" s="125">
        <v>722391.92</v>
      </c>
      <c r="P9" s="125">
        <v>748751.06</v>
      </c>
      <c r="Q9" s="125">
        <v>740315.51</v>
      </c>
      <c r="R9" s="125">
        <v>740918.94</v>
      </c>
      <c r="S9" s="103"/>
      <c r="T9" s="91">
        <f t="shared" ref="T9:T16" si="1">SUM(G9:R9)</f>
        <v>8592215.3300000001</v>
      </c>
      <c r="U9" s="91">
        <f t="shared" ref="U9:U16" si="2">T9/Units</f>
        <v>53701.345812500003</v>
      </c>
      <c r="V9" s="104"/>
      <c r="W9" s="91">
        <f t="shared" ref="W9:W16" si="3">(SUM(J9:R9)/9)*12</f>
        <v>8663616.8133333325</v>
      </c>
      <c r="X9" s="91">
        <f t="shared" ref="X9:X16" si="4">W9/Units</f>
        <v>54147.605083333328</v>
      </c>
      <c r="Y9" s="104"/>
      <c r="Z9" s="91">
        <f t="shared" ref="Z9:Z16" si="5">(SUM(M9:R9)/6)*12</f>
        <v>8756437.7399999984</v>
      </c>
      <c r="AA9" s="91">
        <f t="shared" ref="AA9:AA16" si="6">Z9/Units</f>
        <v>54727.735874999991</v>
      </c>
      <c r="AB9" s="104"/>
      <c r="AC9" s="91">
        <f t="shared" ref="AC9:AC16" si="7">(SUM(P9:R9)/3)*12</f>
        <v>8919942.0399999991</v>
      </c>
      <c r="AD9" s="91">
        <f t="shared" ref="AD9:AD16" si="8">AC9/Units</f>
        <v>55749.637749999994</v>
      </c>
      <c r="AE9" s="104"/>
      <c r="AF9" s="91">
        <f t="shared" ref="AF9:AF16" si="9">R9*12</f>
        <v>8891027.2799999993</v>
      </c>
      <c r="AG9" s="91">
        <f t="shared" ref="AG9:AG16" si="10">AF9/Units</f>
        <v>55568.920499999993</v>
      </c>
      <c r="AH9" s="126"/>
      <c r="AI9" s="94">
        <v>0.06</v>
      </c>
      <c r="AJ9" s="86"/>
      <c r="AK9" s="93"/>
      <c r="AL9" s="86">
        <f>'Rent Roll Summary'!S12*(1+AI9)</f>
        <v>9558520.3200000003</v>
      </c>
      <c r="AM9" s="86"/>
      <c r="AO9" s="86"/>
    </row>
    <row r="10" spans="2:46">
      <c r="B10" s="410" t="s">
        <v>10</v>
      </c>
      <c r="C10" s="90"/>
      <c r="D10" s="125">
        <v>0</v>
      </c>
      <c r="E10" s="125">
        <v>0</v>
      </c>
      <c r="F10" s="125">
        <v>0</v>
      </c>
      <c r="G10" s="125">
        <v>0</v>
      </c>
      <c r="H10" s="125">
        <v>0</v>
      </c>
      <c r="I10" s="125">
        <v>0</v>
      </c>
      <c r="J10" s="125">
        <v>0</v>
      </c>
      <c r="K10" s="125">
        <v>0</v>
      </c>
      <c r="L10" s="125">
        <v>0</v>
      </c>
      <c r="M10" s="125">
        <v>0</v>
      </c>
      <c r="N10" s="125">
        <v>0</v>
      </c>
      <c r="O10" s="125">
        <v>0</v>
      </c>
      <c r="P10" s="125">
        <v>0</v>
      </c>
      <c r="Q10" s="125">
        <v>0</v>
      </c>
      <c r="R10" s="125">
        <v>0</v>
      </c>
      <c r="S10" s="103"/>
      <c r="T10" s="91">
        <f t="shared" si="1"/>
        <v>0</v>
      </c>
      <c r="U10" s="91">
        <f t="shared" si="2"/>
        <v>0</v>
      </c>
      <c r="W10" s="91">
        <f t="shared" si="3"/>
        <v>0</v>
      </c>
      <c r="X10" s="91">
        <f t="shared" si="4"/>
        <v>0</v>
      </c>
      <c r="Z10" s="91">
        <f t="shared" si="5"/>
        <v>0</v>
      </c>
      <c r="AA10" s="91">
        <f t="shared" si="6"/>
        <v>0</v>
      </c>
      <c r="AC10" s="91">
        <f t="shared" si="7"/>
        <v>0</v>
      </c>
      <c r="AD10" s="91">
        <f t="shared" si="8"/>
        <v>0</v>
      </c>
      <c r="AF10" s="91">
        <f t="shared" si="9"/>
        <v>0</v>
      </c>
      <c r="AG10" s="91">
        <f t="shared" si="10"/>
        <v>0</v>
      </c>
      <c r="AI10" s="95"/>
      <c r="AJ10" s="95"/>
      <c r="AK10" s="93"/>
      <c r="AL10" s="100">
        <v>0</v>
      </c>
      <c r="AM10" s="86"/>
      <c r="AO10" s="86"/>
    </row>
    <row r="11" spans="2:46" s="91" customFormat="1" ht="5.0999999999999996" customHeight="1">
      <c r="B11" s="411"/>
      <c r="C11" s="90"/>
      <c r="D11" s="417"/>
      <c r="E11" s="417"/>
      <c r="F11" s="417"/>
      <c r="G11" s="417"/>
      <c r="H11" s="417"/>
      <c r="I11" s="417"/>
      <c r="J11" s="417"/>
      <c r="K11" s="417"/>
      <c r="L11" s="417"/>
      <c r="M11" s="417"/>
      <c r="N11" s="417"/>
      <c r="O11" s="417"/>
      <c r="P11" s="417"/>
      <c r="Q11" s="417"/>
      <c r="R11" s="417"/>
      <c r="S11" s="103"/>
      <c r="V11" s="90"/>
      <c r="Y11" s="90"/>
      <c r="AB11" s="90"/>
      <c r="AE11" s="90"/>
      <c r="AI11" s="86"/>
      <c r="AJ11" s="86"/>
      <c r="AK11" s="86"/>
      <c r="AL11" s="86"/>
      <c r="AM11" s="86"/>
      <c r="AN11" s="85"/>
      <c r="AO11" s="86"/>
      <c r="AP11" s="85"/>
      <c r="AQ11" s="85"/>
      <c r="AR11" s="85"/>
      <c r="AS11" s="85"/>
      <c r="AT11" s="85"/>
    </row>
    <row r="12" spans="2:46" s="91" customFormat="1">
      <c r="B12" s="416" t="s">
        <v>69</v>
      </c>
      <c r="C12" s="90"/>
      <c r="D12" s="442">
        <f>SUM(D9:D10)</f>
        <v>707145.24</v>
      </c>
      <c r="E12" s="442">
        <f t="shared" ref="E12:T12" si="11">SUM(E9:E10)</f>
        <v>708823.83</v>
      </c>
      <c r="F12" s="442">
        <f t="shared" si="11"/>
        <v>708186.29</v>
      </c>
      <c r="G12" s="442">
        <f t="shared" si="11"/>
        <v>697354.79</v>
      </c>
      <c r="H12" s="442">
        <f t="shared" si="11"/>
        <v>701321.28</v>
      </c>
      <c r="I12" s="442">
        <f t="shared" si="11"/>
        <v>695826.65</v>
      </c>
      <c r="J12" s="442">
        <f t="shared" si="11"/>
        <v>714512.74</v>
      </c>
      <c r="K12" s="442">
        <f t="shared" si="11"/>
        <v>699347.08</v>
      </c>
      <c r="L12" s="442">
        <f t="shared" si="11"/>
        <v>705633.92</v>
      </c>
      <c r="M12" s="442">
        <f t="shared" si="11"/>
        <v>710728.46</v>
      </c>
      <c r="N12" s="442">
        <f t="shared" si="11"/>
        <v>715112.98</v>
      </c>
      <c r="O12" s="442">
        <f t="shared" si="11"/>
        <v>722391.92</v>
      </c>
      <c r="P12" s="442">
        <f t="shared" si="11"/>
        <v>748751.06</v>
      </c>
      <c r="Q12" s="442">
        <f t="shared" si="11"/>
        <v>740315.51</v>
      </c>
      <c r="R12" s="442">
        <f t="shared" si="11"/>
        <v>740918.94</v>
      </c>
      <c r="S12" s="103"/>
      <c r="T12" s="442">
        <f t="shared" si="11"/>
        <v>8592215.3300000001</v>
      </c>
      <c r="U12" s="442">
        <f t="shared" si="2"/>
        <v>53701.345812500003</v>
      </c>
      <c r="V12" s="90"/>
      <c r="W12" s="442">
        <f t="shared" ref="W12" si="12">SUM(W9:W10)</f>
        <v>8663616.8133333325</v>
      </c>
      <c r="X12" s="442">
        <f t="shared" ref="X12" si="13">W12/Units</f>
        <v>54147.605083333328</v>
      </c>
      <c r="Y12" s="90"/>
      <c r="Z12" s="442">
        <f t="shared" ref="Z12" si="14">SUM(Z9:Z10)</f>
        <v>8756437.7399999984</v>
      </c>
      <c r="AA12" s="442">
        <f t="shared" ref="AA12" si="15">Z12/Units</f>
        <v>54727.735874999991</v>
      </c>
      <c r="AB12" s="90"/>
      <c r="AC12" s="442">
        <f t="shared" ref="AC12" si="16">SUM(AC9:AC10)</f>
        <v>8919942.0399999991</v>
      </c>
      <c r="AD12" s="442">
        <f t="shared" ref="AD12" si="17">AC12/Units</f>
        <v>55749.637749999994</v>
      </c>
      <c r="AE12" s="90"/>
      <c r="AF12" s="442">
        <f t="shared" ref="AF12" si="18">SUM(AF9:AF10)</f>
        <v>8891027.2799999993</v>
      </c>
      <c r="AG12" s="442">
        <f t="shared" ref="AG12" si="19">AF12/Units</f>
        <v>55568.920499999993</v>
      </c>
      <c r="AI12" s="97"/>
      <c r="AJ12" s="97"/>
      <c r="AK12" s="97"/>
      <c r="AL12" s="96">
        <f>SUM(AL9:AL9)</f>
        <v>9558520.3200000003</v>
      </c>
      <c r="AM12" s="86"/>
      <c r="AN12" s="85">
        <f>'Trailing-12 &amp; Pro Forma'!AA12</f>
        <v>54727.735874999991</v>
      </c>
      <c r="AO12" s="86"/>
      <c r="AP12" s="85">
        <f>'Trailing-12 &amp; Pro Forma'!AD12</f>
        <v>55749.637749999994</v>
      </c>
      <c r="AQ12" s="85"/>
      <c r="AR12" s="85">
        <f>'Trailing-12 &amp; Pro Forma'!AG12</f>
        <v>55568.920499999993</v>
      </c>
      <c r="AS12" s="85"/>
      <c r="AT12" s="85">
        <f>AVERAGE(AR12,AP12,AN12)</f>
        <v>55348.764708333329</v>
      </c>
    </row>
    <row r="13" spans="2:46" s="91" customFormat="1" ht="5.0999999999999996" customHeight="1">
      <c r="B13" s="411"/>
      <c r="C13" s="90"/>
      <c r="D13" s="417"/>
      <c r="E13" s="417"/>
      <c r="F13" s="417"/>
      <c r="G13" s="417"/>
      <c r="H13" s="417"/>
      <c r="I13" s="417"/>
      <c r="J13" s="417"/>
      <c r="K13" s="417"/>
      <c r="L13" s="417"/>
      <c r="M13" s="417"/>
      <c r="N13" s="417"/>
      <c r="O13" s="417"/>
      <c r="P13" s="417"/>
      <c r="Q13" s="417"/>
      <c r="R13" s="417"/>
      <c r="S13" s="103"/>
      <c r="V13" s="90"/>
      <c r="Y13" s="90"/>
      <c r="AB13" s="90"/>
      <c r="AE13" s="90"/>
      <c r="AI13" s="86"/>
      <c r="AJ13" s="86"/>
      <c r="AK13" s="86"/>
      <c r="AL13" s="86"/>
      <c r="AM13" s="86"/>
      <c r="AN13" s="85"/>
      <c r="AO13" s="86"/>
      <c r="AP13" s="85"/>
      <c r="AQ13" s="85"/>
      <c r="AR13" s="85"/>
      <c r="AS13" s="85"/>
      <c r="AT13" s="85"/>
    </row>
    <row r="14" spans="2:46">
      <c r="B14" s="410" t="s">
        <v>11</v>
      </c>
      <c r="C14" s="90"/>
      <c r="D14" s="125">
        <v>0</v>
      </c>
      <c r="E14" s="125">
        <v>0</v>
      </c>
      <c r="F14" s="125">
        <v>0</v>
      </c>
      <c r="G14" s="125">
        <v>0</v>
      </c>
      <c r="H14" s="125">
        <v>0</v>
      </c>
      <c r="I14" s="125">
        <v>0</v>
      </c>
      <c r="J14" s="125">
        <v>0</v>
      </c>
      <c r="K14" s="125">
        <v>0</v>
      </c>
      <c r="L14" s="125">
        <v>0</v>
      </c>
      <c r="M14" s="125">
        <v>0</v>
      </c>
      <c r="N14" s="125">
        <v>0</v>
      </c>
      <c r="O14" s="125">
        <v>0</v>
      </c>
      <c r="P14" s="125">
        <v>0</v>
      </c>
      <c r="Q14" s="125">
        <v>0</v>
      </c>
      <c r="R14" s="125">
        <v>0</v>
      </c>
      <c r="S14" s="103"/>
      <c r="T14" s="91">
        <f t="shared" si="1"/>
        <v>0</v>
      </c>
      <c r="U14" s="91">
        <f t="shared" si="2"/>
        <v>0</v>
      </c>
      <c r="W14" s="91">
        <f t="shared" si="3"/>
        <v>0</v>
      </c>
      <c r="X14" s="91">
        <f t="shared" si="4"/>
        <v>0</v>
      </c>
      <c r="Z14" s="91">
        <f t="shared" si="5"/>
        <v>0</v>
      </c>
      <c r="AA14" s="91">
        <f t="shared" si="6"/>
        <v>0</v>
      </c>
      <c r="AC14" s="91">
        <f t="shared" si="7"/>
        <v>0</v>
      </c>
      <c r="AD14" s="91">
        <f t="shared" si="8"/>
        <v>0</v>
      </c>
      <c r="AF14" s="91">
        <f t="shared" si="9"/>
        <v>0</v>
      </c>
      <c r="AG14" s="91">
        <f t="shared" si="10"/>
        <v>0</v>
      </c>
      <c r="AI14" s="94">
        <v>-0.04</v>
      </c>
      <c r="AJ14" s="95"/>
      <c r="AK14" s="86"/>
      <c r="AL14" s="86">
        <f>AL$12*AI14</f>
        <v>-382340.81280000001</v>
      </c>
      <c r="AM14" s="86"/>
      <c r="AO14" s="86"/>
    </row>
    <row r="15" spans="2:46">
      <c r="B15" s="410" t="s">
        <v>12</v>
      </c>
      <c r="C15" s="90"/>
      <c r="D15" s="125">
        <v>-579.9</v>
      </c>
      <c r="E15" s="125">
        <v>-472.61</v>
      </c>
      <c r="F15" s="125">
        <v>-861.39</v>
      </c>
      <c r="G15" s="125">
        <v>-942.95</v>
      </c>
      <c r="H15" s="125">
        <v>-1064.28</v>
      </c>
      <c r="I15" s="125">
        <v>-1059.04</v>
      </c>
      <c r="J15" s="125">
        <v>-2812.85</v>
      </c>
      <c r="K15" s="125">
        <v>-3471.53</v>
      </c>
      <c r="L15" s="125">
        <v>-3589.35</v>
      </c>
      <c r="M15" s="125">
        <v>-827.49</v>
      </c>
      <c r="N15" s="125">
        <v>-294.83999999999997</v>
      </c>
      <c r="O15" s="125">
        <v>-476.79</v>
      </c>
      <c r="P15" s="125">
        <v>-652.78</v>
      </c>
      <c r="Q15" s="125">
        <v>-1844.61</v>
      </c>
      <c r="R15" s="125">
        <v>-870.56</v>
      </c>
      <c r="S15" s="103"/>
      <c r="T15" s="91">
        <f t="shared" si="1"/>
        <v>-17907.070000000003</v>
      </c>
      <c r="U15" s="91">
        <f t="shared" si="2"/>
        <v>-111.91918750000002</v>
      </c>
      <c r="W15" s="91">
        <f t="shared" si="3"/>
        <v>-19787.733333333334</v>
      </c>
      <c r="X15" s="91">
        <f t="shared" si="4"/>
        <v>-123.67333333333333</v>
      </c>
      <c r="Z15" s="91">
        <f t="shared" si="5"/>
        <v>-9934.14</v>
      </c>
      <c r="AA15" s="91">
        <f t="shared" si="6"/>
        <v>-62.088374999999999</v>
      </c>
      <c r="AC15" s="91">
        <f t="shared" si="7"/>
        <v>-13471.8</v>
      </c>
      <c r="AD15" s="91">
        <f t="shared" si="8"/>
        <v>-84.19874999999999</v>
      </c>
      <c r="AF15" s="91">
        <f t="shared" si="9"/>
        <v>-10446.719999999999</v>
      </c>
      <c r="AG15" s="91">
        <f t="shared" si="10"/>
        <v>-65.292000000000002</v>
      </c>
      <c r="AI15" s="94">
        <v>-5.0000000000000001E-4</v>
      </c>
      <c r="AJ15" s="95"/>
      <c r="AK15" s="86"/>
      <c r="AL15" s="86">
        <f>AL$12*AI15</f>
        <v>-4779.2601599999998</v>
      </c>
      <c r="AM15" s="86"/>
      <c r="AO15" s="86"/>
    </row>
    <row r="16" spans="2:46">
      <c r="B16" s="410" t="s">
        <v>13</v>
      </c>
      <c r="C16" s="90"/>
      <c r="D16" s="125">
        <v>-1192.8699999999999</v>
      </c>
      <c r="E16" s="125">
        <v>-1189.8399999999999</v>
      </c>
      <c r="F16" s="125">
        <v>3134.08</v>
      </c>
      <c r="G16" s="125">
        <v>-1186.67</v>
      </c>
      <c r="H16" s="125">
        <v>-1187.67</v>
      </c>
      <c r="I16" s="125">
        <v>2264.67</v>
      </c>
      <c r="J16" s="125">
        <v>-1206.24</v>
      </c>
      <c r="K16" s="125">
        <v>-1210.5</v>
      </c>
      <c r="L16" s="125">
        <v>1597.57</v>
      </c>
      <c r="M16" s="125">
        <v>-1211.6600000000001</v>
      </c>
      <c r="N16" s="125">
        <v>-1213.42</v>
      </c>
      <c r="O16" s="125">
        <v>2710.21</v>
      </c>
      <c r="P16" s="125">
        <v>-923.35</v>
      </c>
      <c r="Q16" s="125">
        <v>-24.32</v>
      </c>
      <c r="R16" s="125">
        <v>-178.39</v>
      </c>
      <c r="S16" s="103"/>
      <c r="T16" s="91">
        <f t="shared" si="1"/>
        <v>-1769.77</v>
      </c>
      <c r="U16" s="91">
        <f t="shared" si="2"/>
        <v>-11.0610625</v>
      </c>
      <c r="W16" s="91">
        <f t="shared" si="3"/>
        <v>-2213.4666666666667</v>
      </c>
      <c r="X16" s="91">
        <f t="shared" si="4"/>
        <v>-13.834166666666667</v>
      </c>
      <c r="Z16" s="91">
        <f t="shared" si="5"/>
        <v>-1681.8600000000001</v>
      </c>
      <c r="AA16" s="91">
        <f t="shared" si="6"/>
        <v>-10.511625</v>
      </c>
      <c r="AC16" s="91">
        <f t="shared" si="7"/>
        <v>-4504.24</v>
      </c>
      <c r="AD16" s="91">
        <f t="shared" si="8"/>
        <v>-28.151499999999999</v>
      </c>
      <c r="AF16" s="91">
        <f t="shared" si="9"/>
        <v>-2140.6799999999998</v>
      </c>
      <c r="AG16" s="91">
        <f t="shared" si="10"/>
        <v>-13.379249999999999</v>
      </c>
      <c r="AI16" s="94">
        <v>-2E-3</v>
      </c>
      <c r="AJ16" s="95"/>
      <c r="AK16" s="86"/>
      <c r="AL16" s="86">
        <f>AL$12*AI16</f>
        <v>-19117.040639999999</v>
      </c>
      <c r="AM16" s="86"/>
      <c r="AO16" s="86"/>
    </row>
    <row r="17" spans="2:46" ht="5.0999999999999996" customHeight="1">
      <c r="B17" s="92"/>
      <c r="C17" s="90"/>
      <c r="S17" s="90"/>
      <c r="T17" s="91"/>
      <c r="U17" s="91"/>
      <c r="W17" s="91"/>
      <c r="X17" s="91"/>
      <c r="Z17" s="91"/>
      <c r="AA17" s="91"/>
      <c r="AC17" s="91"/>
      <c r="AD17" s="91"/>
      <c r="AF17" s="91"/>
      <c r="AG17" s="91"/>
      <c r="AI17" s="86"/>
      <c r="AJ17" s="90"/>
      <c r="AK17" s="86"/>
      <c r="AL17" s="86"/>
      <c r="AM17" s="86"/>
      <c r="AO17" s="86"/>
    </row>
    <row r="18" spans="2:46">
      <c r="B18" s="127" t="s">
        <v>14</v>
      </c>
      <c r="C18" s="99"/>
      <c r="D18" s="442">
        <f>SUM(D12:D16)</f>
        <v>705372.47</v>
      </c>
      <c r="E18" s="442">
        <f t="shared" ref="E18:T18" si="20">SUM(E12:E16)</f>
        <v>707161.38</v>
      </c>
      <c r="F18" s="442">
        <f t="shared" si="20"/>
        <v>710458.98</v>
      </c>
      <c r="G18" s="442">
        <f t="shared" si="20"/>
        <v>695225.17</v>
      </c>
      <c r="H18" s="442">
        <f t="shared" si="20"/>
        <v>699069.33</v>
      </c>
      <c r="I18" s="442">
        <f t="shared" si="20"/>
        <v>697032.28</v>
      </c>
      <c r="J18" s="442">
        <f t="shared" si="20"/>
        <v>710493.65</v>
      </c>
      <c r="K18" s="442">
        <f t="shared" si="20"/>
        <v>694665.04999999993</v>
      </c>
      <c r="L18" s="442">
        <f t="shared" si="20"/>
        <v>703642.14</v>
      </c>
      <c r="M18" s="442">
        <f t="shared" si="20"/>
        <v>708689.30999999994</v>
      </c>
      <c r="N18" s="442">
        <f t="shared" si="20"/>
        <v>713604.72</v>
      </c>
      <c r="O18" s="442">
        <f t="shared" si="20"/>
        <v>724625.34</v>
      </c>
      <c r="P18" s="442">
        <f t="shared" si="20"/>
        <v>747174.93</v>
      </c>
      <c r="Q18" s="442">
        <f t="shared" si="20"/>
        <v>738446.58000000007</v>
      </c>
      <c r="R18" s="442">
        <f t="shared" si="20"/>
        <v>739869.98999999987</v>
      </c>
      <c r="S18" s="99"/>
      <c r="T18" s="442">
        <f t="shared" si="20"/>
        <v>8572538.4900000002</v>
      </c>
      <c r="U18" s="442">
        <f>T18/Units</f>
        <v>53578.365562500003</v>
      </c>
      <c r="W18" s="442">
        <f t="shared" ref="W18" si="21">SUM(W12:W16)</f>
        <v>8641615.6133333333</v>
      </c>
      <c r="X18" s="442">
        <f>W18/Units</f>
        <v>54010.097583333336</v>
      </c>
      <c r="Z18" s="442">
        <f t="shared" ref="Z18" si="22">SUM(Z12:Z16)</f>
        <v>8744821.7399999984</v>
      </c>
      <c r="AA18" s="442">
        <f>Z18/Units</f>
        <v>54655.135874999993</v>
      </c>
      <c r="AC18" s="442">
        <f t="shared" ref="AC18" si="23">SUM(AC12:AC16)</f>
        <v>8901965.9999999981</v>
      </c>
      <c r="AD18" s="442">
        <f>AC18/Units</f>
        <v>55637.287499999991</v>
      </c>
      <c r="AF18" s="442">
        <f t="shared" ref="AF18" si="24">SUM(AF12:AF16)</f>
        <v>8878439.879999999</v>
      </c>
      <c r="AG18" s="442">
        <f>AF18/Units</f>
        <v>55490.249249999993</v>
      </c>
      <c r="AI18" s="99"/>
      <c r="AJ18" s="97"/>
      <c r="AK18" s="86"/>
      <c r="AL18" s="98">
        <f>SUM(AL12:AL16)</f>
        <v>9152283.2064000014</v>
      </c>
      <c r="AM18" s="86"/>
      <c r="AN18" s="85">
        <f>'Trailing-12 &amp; Pro Forma'!AA18</f>
        <v>54655.135874999993</v>
      </c>
      <c r="AO18" s="86"/>
      <c r="AP18" s="85">
        <f>'Trailing-12 &amp; Pro Forma'!AD18</f>
        <v>55637.287499999991</v>
      </c>
      <c r="AR18" s="85">
        <f>'Trailing-12 &amp; Pro Forma'!AG18</f>
        <v>55490.249249999993</v>
      </c>
      <c r="AT18" s="85">
        <f>AVERAGE(AR18,AP18,AN18)</f>
        <v>55260.89087499999</v>
      </c>
    </row>
    <row r="19" spans="2:46" ht="5.0999999999999996" customHeight="1">
      <c r="B19" s="92"/>
      <c r="C19" s="101"/>
      <c r="S19" s="90"/>
      <c r="T19" s="91"/>
      <c r="U19" s="91"/>
      <c r="W19" s="91"/>
      <c r="X19" s="91"/>
      <c r="Z19" s="91"/>
      <c r="AA19" s="91"/>
      <c r="AC19" s="91"/>
      <c r="AD19" s="91"/>
      <c r="AF19" s="91"/>
      <c r="AG19" s="91"/>
      <c r="AI19" s="86"/>
      <c r="AJ19" s="86"/>
      <c r="AK19" s="86"/>
      <c r="AL19" s="86"/>
      <c r="AM19" s="86"/>
    </row>
    <row r="20" spans="2:46">
      <c r="B20" s="92" t="s">
        <v>15</v>
      </c>
      <c r="C20" s="101"/>
      <c r="S20" s="90"/>
      <c r="T20" s="91"/>
      <c r="U20" s="91"/>
      <c r="W20" s="91">
        <f>(SUM(H20:P20)/9)*12</f>
        <v>0</v>
      </c>
      <c r="X20" s="91"/>
      <c r="Z20" s="91">
        <f>(SUM(K20:P20)/6)*12</f>
        <v>0</v>
      </c>
      <c r="AA20" s="91"/>
      <c r="AC20" s="91">
        <f>(SUM(N20:P20)/3)*12</f>
        <v>0</v>
      </c>
      <c r="AD20" s="91"/>
      <c r="AF20" s="91">
        <f>P20*12</f>
        <v>0</v>
      </c>
      <c r="AG20" s="91"/>
      <c r="AI20" s="86"/>
      <c r="AJ20" s="86"/>
      <c r="AK20" s="86"/>
      <c r="AL20" s="86"/>
      <c r="AM20" s="86"/>
    </row>
    <row r="21" spans="2:46">
      <c r="B21" s="410" t="s">
        <v>209</v>
      </c>
      <c r="C21" s="90"/>
      <c r="D21" s="125">
        <v>13295.91</v>
      </c>
      <c r="E21" s="125">
        <v>11007.97</v>
      </c>
      <c r="F21" s="125">
        <v>11456.27</v>
      </c>
      <c r="G21" s="125">
        <v>10126.709999999999</v>
      </c>
      <c r="H21" s="125">
        <v>10374.16</v>
      </c>
      <c r="I21" s="125">
        <v>10698.78</v>
      </c>
      <c r="J21" s="125">
        <v>11378.99</v>
      </c>
      <c r="K21" s="125">
        <v>11456.27</v>
      </c>
      <c r="L21" s="125">
        <v>12321.99</v>
      </c>
      <c r="M21" s="125">
        <v>12553.86</v>
      </c>
      <c r="N21" s="125">
        <v>14110.36</v>
      </c>
      <c r="O21" s="125">
        <v>14036.8</v>
      </c>
      <c r="P21" s="125">
        <v>13660.06</v>
      </c>
      <c r="Q21" s="125">
        <v>13532.05</v>
      </c>
      <c r="R21" s="125">
        <v>11564.13</v>
      </c>
      <c r="S21" s="103"/>
      <c r="T21" s="91">
        <f t="shared" ref="T21:T25" si="25">SUM(G21:R21)</f>
        <v>145814.16</v>
      </c>
      <c r="U21" s="91">
        <f t="shared" ref="U21:U24" si="26">T21/Units</f>
        <v>911.33850000000007</v>
      </c>
      <c r="W21" s="91">
        <f t="shared" ref="W21:W25" si="27">(SUM(J21:R21)/9)*12</f>
        <v>152819.34666666668</v>
      </c>
      <c r="X21" s="91">
        <f t="shared" ref="X21:X24" si="28">W21/Units</f>
        <v>955.12091666666674</v>
      </c>
      <c r="Z21" s="91">
        <f t="shared" ref="Z21:Z25" si="29">(SUM(M21:R21)/6)*12</f>
        <v>158914.52000000002</v>
      </c>
      <c r="AA21" s="91">
        <f t="shared" ref="AA21:AA24" si="30">Z21/Units</f>
        <v>993.21575000000007</v>
      </c>
      <c r="AC21" s="91">
        <f t="shared" ref="AC21:AC25" si="31">(SUM(P21:R21)/3)*12</f>
        <v>155024.95999999999</v>
      </c>
      <c r="AD21" s="91">
        <f t="shared" ref="AD21:AD24" si="32">AC21/Units</f>
        <v>968.90599999999995</v>
      </c>
      <c r="AF21" s="91">
        <f t="shared" ref="AF21:AF25" si="33">R21*12</f>
        <v>138769.56</v>
      </c>
      <c r="AG21" s="91">
        <f t="shared" ref="AG21:AG24" si="34">AF21/Units</f>
        <v>867.30975000000001</v>
      </c>
      <c r="AI21" s="86"/>
      <c r="AJ21" s="100">
        <v>950</v>
      </c>
      <c r="AK21" s="86"/>
      <c r="AL21" s="86">
        <f>AJ21*Units</f>
        <v>152000</v>
      </c>
      <c r="AM21" s="86"/>
      <c r="AN21" s="85">
        <f>'Trailing-12 &amp; Pro Forma'!AA21</f>
        <v>993.21575000000007</v>
      </c>
      <c r="AO21" s="86"/>
      <c r="AP21" s="85">
        <f>'Trailing-12 &amp; Pro Forma'!AD21</f>
        <v>968.90599999999995</v>
      </c>
      <c r="AR21" s="85">
        <f>'Trailing-12 &amp; Pro Forma'!AG21</f>
        <v>867.30975000000001</v>
      </c>
      <c r="AT21" s="85">
        <f>AVERAGE(AR21,AP21,AN21)</f>
        <v>943.14383333333319</v>
      </c>
    </row>
    <row r="22" spans="2:46">
      <c r="B22" s="410" t="s">
        <v>210</v>
      </c>
      <c r="C22" s="90"/>
      <c r="D22" s="125">
        <v>7360</v>
      </c>
      <c r="E22" s="125">
        <v>6094</v>
      </c>
      <c r="F22" s="125">
        <v>6342</v>
      </c>
      <c r="G22" s="125">
        <v>5606</v>
      </c>
      <c r="H22" s="125">
        <v>5743</v>
      </c>
      <c r="I22" s="125">
        <v>5923</v>
      </c>
      <c r="J22" s="125">
        <v>6300</v>
      </c>
      <c r="K22" s="125">
        <v>6343</v>
      </c>
      <c r="L22" s="125">
        <v>6822</v>
      </c>
      <c r="M22" s="125">
        <v>6950</v>
      </c>
      <c r="N22" s="125">
        <v>7812</v>
      </c>
      <c r="O22" s="125">
        <v>7771</v>
      </c>
      <c r="P22" s="125">
        <v>7562</v>
      </c>
      <c r="Q22" s="125">
        <v>7491</v>
      </c>
      <c r="R22" s="125">
        <v>6402</v>
      </c>
      <c r="S22" s="103"/>
      <c r="T22" s="91">
        <f t="shared" si="25"/>
        <v>80725</v>
      </c>
      <c r="U22" s="91">
        <f t="shared" si="26"/>
        <v>504.53125</v>
      </c>
      <c r="W22" s="91">
        <f t="shared" si="27"/>
        <v>84604</v>
      </c>
      <c r="X22" s="91">
        <f t="shared" si="28"/>
        <v>528.77499999999998</v>
      </c>
      <c r="Z22" s="91">
        <f t="shared" si="29"/>
        <v>87976</v>
      </c>
      <c r="AA22" s="91">
        <f t="shared" si="30"/>
        <v>549.85</v>
      </c>
      <c r="AC22" s="91">
        <f t="shared" si="31"/>
        <v>85820</v>
      </c>
      <c r="AD22" s="91">
        <f t="shared" si="32"/>
        <v>536.375</v>
      </c>
      <c r="AF22" s="91">
        <f t="shared" si="33"/>
        <v>76824</v>
      </c>
      <c r="AG22" s="91">
        <f t="shared" si="34"/>
        <v>480.15</v>
      </c>
      <c r="AI22" s="86"/>
      <c r="AJ22" s="100">
        <v>25</v>
      </c>
      <c r="AK22" s="86"/>
      <c r="AL22" s="86">
        <f>AJ22*Units</f>
        <v>4000</v>
      </c>
      <c r="AM22" s="86"/>
      <c r="AN22" s="85">
        <f>'Trailing-12 &amp; Pro Forma'!AA22</f>
        <v>549.85</v>
      </c>
      <c r="AO22" s="86"/>
      <c r="AP22" s="85">
        <f>'Trailing-12 &amp; Pro Forma'!AD22</f>
        <v>536.375</v>
      </c>
      <c r="AR22" s="85">
        <f>'Trailing-12 &amp; Pro Forma'!AG22</f>
        <v>480.15</v>
      </c>
      <c r="AT22" s="85">
        <f>AVERAGE(AR22,AP22,AN22)</f>
        <v>522.125</v>
      </c>
    </row>
    <row r="23" spans="2:46">
      <c r="B23" s="410" t="s">
        <v>16</v>
      </c>
      <c r="C23" s="90"/>
      <c r="D23" s="125">
        <v>294.69</v>
      </c>
      <c r="E23" s="125">
        <v>0</v>
      </c>
      <c r="F23" s="125">
        <v>294.69</v>
      </c>
      <c r="G23" s="125">
        <v>857.54</v>
      </c>
      <c r="H23" s="125">
        <v>376.41</v>
      </c>
      <c r="I23" s="125">
        <v>-884.06</v>
      </c>
      <c r="J23" s="125">
        <v>294.69</v>
      </c>
      <c r="K23" s="125">
        <v>294.69</v>
      </c>
      <c r="L23" s="125">
        <v>884.06</v>
      </c>
      <c r="M23" s="125">
        <v>1835.2</v>
      </c>
      <c r="N23" s="125">
        <v>-18.86</v>
      </c>
      <c r="O23" s="125">
        <v>1473.44</v>
      </c>
      <c r="P23" s="125">
        <v>868.74</v>
      </c>
      <c r="Q23" s="125">
        <v>2372.8200000000002</v>
      </c>
      <c r="R23" s="125">
        <v>496.93</v>
      </c>
      <c r="S23" s="103"/>
      <c r="T23" s="91">
        <f t="shared" si="25"/>
        <v>8851.6</v>
      </c>
      <c r="U23" s="91">
        <f t="shared" si="26"/>
        <v>55.322500000000005</v>
      </c>
      <c r="W23" s="91">
        <f t="shared" si="27"/>
        <v>11335.613333333335</v>
      </c>
      <c r="X23" s="91">
        <f t="shared" si="28"/>
        <v>70.847583333333347</v>
      </c>
      <c r="Z23" s="91">
        <f t="shared" si="29"/>
        <v>14056.54</v>
      </c>
      <c r="AA23" s="91">
        <f t="shared" si="30"/>
        <v>87.853375</v>
      </c>
      <c r="AC23" s="91">
        <f t="shared" si="31"/>
        <v>14953.960000000001</v>
      </c>
      <c r="AD23" s="91">
        <f t="shared" si="32"/>
        <v>93.462250000000012</v>
      </c>
      <c r="AF23" s="91">
        <f t="shared" si="33"/>
        <v>5963.16</v>
      </c>
      <c r="AG23" s="91">
        <f t="shared" si="34"/>
        <v>37.269750000000002</v>
      </c>
      <c r="AI23" s="86"/>
      <c r="AJ23" s="100">
        <v>60</v>
      </c>
      <c r="AK23" s="86"/>
      <c r="AL23" s="86">
        <f>AJ23*Units</f>
        <v>9600</v>
      </c>
      <c r="AM23" s="86"/>
      <c r="AN23" s="85">
        <f>'Trailing-12 &amp; Pro Forma'!AA23</f>
        <v>87.853375</v>
      </c>
      <c r="AO23" s="86"/>
      <c r="AP23" s="85">
        <f>'Trailing-12 &amp; Pro Forma'!AD23</f>
        <v>93.462250000000012</v>
      </c>
      <c r="AR23" s="85">
        <f>'Trailing-12 &amp; Pro Forma'!AG23</f>
        <v>37.269750000000002</v>
      </c>
      <c r="AT23" s="85">
        <f>AVERAGE(AR23,AP23,AN23)</f>
        <v>72.861791666666676</v>
      </c>
    </row>
    <row r="24" spans="2:46">
      <c r="B24" s="410" t="s">
        <v>17</v>
      </c>
      <c r="C24" s="90"/>
      <c r="D24" s="125">
        <v>19752.79</v>
      </c>
      <c r="E24" s="125">
        <v>21233.23</v>
      </c>
      <c r="F24" s="125">
        <v>32365.65</v>
      </c>
      <c r="G24" s="125">
        <v>29247.1</v>
      </c>
      <c r="H24" s="125">
        <v>37005.35</v>
      </c>
      <c r="I24" s="125">
        <v>38101.42</v>
      </c>
      <c r="J24" s="125">
        <v>60376.06</v>
      </c>
      <c r="K24" s="125">
        <v>38822.89</v>
      </c>
      <c r="L24" s="125">
        <v>34056.199999999997</v>
      </c>
      <c r="M24" s="125">
        <v>37642.730000000003</v>
      </c>
      <c r="N24" s="125">
        <v>40672.449999999997</v>
      </c>
      <c r="O24" s="125">
        <v>44597.62</v>
      </c>
      <c r="P24" s="125">
        <v>31244.51</v>
      </c>
      <c r="Q24" s="125">
        <v>29688.85</v>
      </c>
      <c r="R24" s="125">
        <v>28270.5</v>
      </c>
      <c r="S24" s="103"/>
      <c r="T24" s="91">
        <f t="shared" si="25"/>
        <v>449725.68</v>
      </c>
      <c r="U24" s="91">
        <f t="shared" si="26"/>
        <v>2810.7855</v>
      </c>
      <c r="W24" s="91">
        <f t="shared" si="27"/>
        <v>460495.7466666667</v>
      </c>
      <c r="X24" s="91">
        <f t="shared" si="28"/>
        <v>2878.0984166666667</v>
      </c>
      <c r="Z24" s="91">
        <f t="shared" si="29"/>
        <v>424233.31999999995</v>
      </c>
      <c r="AA24" s="91">
        <f t="shared" si="30"/>
        <v>2651.4582499999997</v>
      </c>
      <c r="AC24" s="91">
        <f t="shared" si="31"/>
        <v>356815.44</v>
      </c>
      <c r="AD24" s="91">
        <f t="shared" si="32"/>
        <v>2230.0965000000001</v>
      </c>
      <c r="AF24" s="91">
        <f t="shared" si="33"/>
        <v>339246</v>
      </c>
      <c r="AG24" s="91">
        <f t="shared" si="34"/>
        <v>2120.2874999999999</v>
      </c>
      <c r="AI24" s="86"/>
      <c r="AJ24" s="100">
        <v>2500</v>
      </c>
      <c r="AK24" s="86"/>
      <c r="AL24" s="86">
        <f>AJ24*Units</f>
        <v>400000</v>
      </c>
      <c r="AM24" s="86"/>
      <c r="AN24" s="85">
        <f>'Trailing-12 &amp; Pro Forma'!AA24</f>
        <v>2651.4582499999997</v>
      </c>
      <c r="AO24" s="86"/>
      <c r="AP24" s="85">
        <f>'Trailing-12 &amp; Pro Forma'!AD24</f>
        <v>2230.0965000000001</v>
      </c>
      <c r="AR24" s="85">
        <f>'Trailing-12 &amp; Pro Forma'!AG24</f>
        <v>2120.2874999999999</v>
      </c>
      <c r="AT24" s="85">
        <f>AVERAGE(AR24,AP24,AN24)</f>
        <v>2333.9474166666664</v>
      </c>
    </row>
    <row r="25" spans="2:46" ht="5.0999999999999996" customHeight="1">
      <c r="C25" s="90"/>
      <c r="S25" s="90"/>
      <c r="T25" s="91">
        <f t="shared" si="25"/>
        <v>0</v>
      </c>
      <c r="U25" s="91"/>
      <c r="W25" s="91">
        <f t="shared" si="27"/>
        <v>0</v>
      </c>
      <c r="X25" s="91"/>
      <c r="Z25" s="91">
        <f t="shared" si="29"/>
        <v>0</v>
      </c>
      <c r="AA25" s="91"/>
      <c r="AC25" s="91">
        <f t="shared" si="31"/>
        <v>0</v>
      </c>
      <c r="AD25" s="91"/>
      <c r="AF25" s="91">
        <f t="shared" si="33"/>
        <v>0</v>
      </c>
      <c r="AG25" s="91"/>
      <c r="AI25" s="86"/>
      <c r="AJ25" s="86"/>
      <c r="AK25" s="86"/>
      <c r="AL25" s="86"/>
      <c r="AM25" s="86"/>
      <c r="AO25" s="86"/>
    </row>
    <row r="26" spans="2:46">
      <c r="B26" s="445" t="s">
        <v>18</v>
      </c>
      <c r="C26" s="99"/>
      <c r="D26" s="442">
        <f t="shared" ref="D26:R26" si="35">SUM(D21:D25)</f>
        <v>40703.39</v>
      </c>
      <c r="E26" s="442">
        <f t="shared" si="35"/>
        <v>38335.199999999997</v>
      </c>
      <c r="F26" s="442">
        <f t="shared" si="35"/>
        <v>50458.61</v>
      </c>
      <c r="G26" s="442">
        <f t="shared" si="35"/>
        <v>45837.35</v>
      </c>
      <c r="H26" s="442">
        <f t="shared" si="35"/>
        <v>53498.92</v>
      </c>
      <c r="I26" s="442">
        <f t="shared" si="35"/>
        <v>53839.14</v>
      </c>
      <c r="J26" s="442">
        <f t="shared" si="35"/>
        <v>78349.739999999991</v>
      </c>
      <c r="K26" s="442">
        <f t="shared" si="35"/>
        <v>56916.85</v>
      </c>
      <c r="L26" s="442">
        <f t="shared" si="35"/>
        <v>54084.25</v>
      </c>
      <c r="M26" s="442">
        <f t="shared" si="35"/>
        <v>58981.790000000008</v>
      </c>
      <c r="N26" s="442">
        <f t="shared" si="35"/>
        <v>62575.95</v>
      </c>
      <c r="O26" s="442">
        <f t="shared" si="35"/>
        <v>67878.86</v>
      </c>
      <c r="P26" s="442">
        <f t="shared" si="35"/>
        <v>53335.31</v>
      </c>
      <c r="Q26" s="442">
        <f t="shared" si="35"/>
        <v>53084.72</v>
      </c>
      <c r="R26" s="442">
        <f t="shared" si="35"/>
        <v>46733.56</v>
      </c>
      <c r="S26" s="99"/>
      <c r="T26" s="442">
        <f>SUM(T21:T25)</f>
        <v>685116.44</v>
      </c>
      <c r="U26" s="442">
        <f>T26/Units</f>
        <v>4281.97775</v>
      </c>
      <c r="W26" s="442">
        <f>SUM(W21:W25)</f>
        <v>709254.70666666678</v>
      </c>
      <c r="X26" s="442">
        <f>W26/Units</f>
        <v>4432.8419166666672</v>
      </c>
      <c r="Z26" s="442">
        <f>SUM(Z21:Z25)</f>
        <v>685180.38</v>
      </c>
      <c r="AA26" s="442">
        <f>Z26/Units</f>
        <v>4282.377375</v>
      </c>
      <c r="AC26" s="442">
        <f>SUM(AC21:AC25)</f>
        <v>612614.36</v>
      </c>
      <c r="AD26" s="442">
        <f>AC26/Units</f>
        <v>3828.8397500000001</v>
      </c>
      <c r="AF26" s="442">
        <f>SUM(AF21:AF25)</f>
        <v>560802.72</v>
      </c>
      <c r="AG26" s="442">
        <f>AF26/Units</f>
        <v>3505.0169999999998</v>
      </c>
      <c r="AI26" s="99"/>
      <c r="AJ26" s="97"/>
      <c r="AK26" s="86"/>
      <c r="AL26" s="98">
        <f>SUM(AL21:AL24)</f>
        <v>565600</v>
      </c>
      <c r="AM26" s="86"/>
      <c r="AN26" s="85">
        <f>'Trailing-12 &amp; Pro Forma'!AA26</f>
        <v>4282.377375</v>
      </c>
      <c r="AO26" s="86"/>
      <c r="AP26" s="85">
        <f>'Trailing-12 &amp; Pro Forma'!AD26</f>
        <v>3828.8397500000001</v>
      </c>
      <c r="AR26" s="85">
        <f>'Trailing-12 &amp; Pro Forma'!AG26</f>
        <v>3505.0169999999998</v>
      </c>
      <c r="AT26" s="85">
        <f>AVERAGE(AR26,AP26,AN26)</f>
        <v>3872.0780416666662</v>
      </c>
    </row>
    <row r="27" spans="2:46" ht="5.0999999999999996" customHeight="1">
      <c r="C27" s="128"/>
      <c r="S27" s="90"/>
      <c r="T27" s="91"/>
      <c r="U27" s="91"/>
      <c r="W27" s="91"/>
      <c r="X27" s="91"/>
      <c r="Z27" s="91"/>
      <c r="AA27" s="91"/>
      <c r="AC27" s="91"/>
      <c r="AD27" s="91"/>
      <c r="AF27" s="91"/>
      <c r="AG27" s="91"/>
      <c r="AI27" s="86"/>
      <c r="AJ27" s="86"/>
      <c r="AK27" s="86"/>
      <c r="AL27" s="86"/>
      <c r="AM27" s="86"/>
      <c r="AO27" s="86"/>
    </row>
    <row r="28" spans="2:46">
      <c r="B28" s="415" t="s">
        <v>19</v>
      </c>
      <c r="C28" s="101"/>
      <c r="D28" s="98">
        <f t="shared" ref="D28:R28" si="36">D18+D26</f>
        <v>746075.86</v>
      </c>
      <c r="E28" s="98">
        <f t="shared" si="36"/>
        <v>745496.58</v>
      </c>
      <c r="F28" s="98">
        <f t="shared" si="36"/>
        <v>760917.59</v>
      </c>
      <c r="G28" s="98">
        <f t="shared" si="36"/>
        <v>741062.52</v>
      </c>
      <c r="H28" s="98">
        <f t="shared" si="36"/>
        <v>752568.25</v>
      </c>
      <c r="I28" s="98">
        <f t="shared" si="36"/>
        <v>750871.42</v>
      </c>
      <c r="J28" s="98">
        <f t="shared" si="36"/>
        <v>788843.39</v>
      </c>
      <c r="K28" s="98">
        <f t="shared" si="36"/>
        <v>751581.89999999991</v>
      </c>
      <c r="L28" s="98">
        <f t="shared" si="36"/>
        <v>757726.39</v>
      </c>
      <c r="M28" s="98">
        <f t="shared" si="36"/>
        <v>767671.1</v>
      </c>
      <c r="N28" s="98">
        <f t="shared" si="36"/>
        <v>776180.66999999993</v>
      </c>
      <c r="O28" s="98">
        <f t="shared" si="36"/>
        <v>792504.2</v>
      </c>
      <c r="P28" s="98">
        <f t="shared" si="36"/>
        <v>800510.24</v>
      </c>
      <c r="Q28" s="98">
        <f t="shared" si="36"/>
        <v>791531.3</v>
      </c>
      <c r="R28" s="98">
        <f t="shared" si="36"/>
        <v>786603.54999999981</v>
      </c>
      <c r="S28" s="101"/>
      <c r="T28" s="98">
        <f>T18+T26</f>
        <v>9257654.9299999997</v>
      </c>
      <c r="U28" s="98">
        <f>T28/Units</f>
        <v>57860.343312500001</v>
      </c>
      <c r="V28" s="101"/>
      <c r="W28" s="98">
        <f>W18+W26</f>
        <v>9350870.3200000003</v>
      </c>
      <c r="X28" s="98">
        <f>W28/Units</f>
        <v>58442.9395</v>
      </c>
      <c r="Y28" s="101"/>
      <c r="Z28" s="98">
        <f>Z18+Z26</f>
        <v>9430002.1199999992</v>
      </c>
      <c r="AA28" s="98">
        <f>Z28/Units</f>
        <v>58937.513249999996</v>
      </c>
      <c r="AB28" s="101"/>
      <c r="AC28" s="98">
        <f>AC18+AC26</f>
        <v>9514580.3599999975</v>
      </c>
      <c r="AD28" s="98">
        <f>AC28/Units</f>
        <v>59466.127249999983</v>
      </c>
      <c r="AE28" s="101"/>
      <c r="AF28" s="98">
        <f>AF18+AF26</f>
        <v>9439242.5999999996</v>
      </c>
      <c r="AG28" s="98">
        <f>AF28/Units</f>
        <v>58995.266250000001</v>
      </c>
      <c r="AI28" s="101"/>
      <c r="AJ28" s="97"/>
      <c r="AK28" s="86"/>
      <c r="AL28" s="98">
        <f>AL18+AL26</f>
        <v>9717883.2064000014</v>
      </c>
      <c r="AM28" s="86"/>
      <c r="AN28" s="85">
        <f>'Trailing-12 &amp; Pro Forma'!AA28</f>
        <v>58937.513249999996</v>
      </c>
      <c r="AO28" s="86"/>
      <c r="AP28" s="85">
        <f>'Trailing-12 &amp; Pro Forma'!AD28</f>
        <v>59466.127249999983</v>
      </c>
      <c r="AR28" s="85">
        <f>'Trailing-12 &amp; Pro Forma'!AG28</f>
        <v>58995.266250000001</v>
      </c>
      <c r="AT28" s="85">
        <f>AVERAGE(AR28,AP28,AN28)</f>
        <v>59132.968916666658</v>
      </c>
    </row>
    <row r="29" spans="2:46" ht="5.0999999999999996" customHeight="1">
      <c r="C29" s="90"/>
      <c r="S29" s="90"/>
      <c r="T29" s="91"/>
      <c r="U29" s="91"/>
      <c r="W29" s="91"/>
      <c r="X29" s="91"/>
      <c r="Z29" s="91"/>
      <c r="AA29" s="91"/>
      <c r="AC29" s="91"/>
      <c r="AD29" s="91"/>
      <c r="AF29" s="91"/>
      <c r="AG29" s="91"/>
      <c r="AI29" s="86"/>
      <c r="AJ29" s="86"/>
      <c r="AK29" s="86"/>
      <c r="AL29" s="86"/>
      <c r="AM29" s="86"/>
      <c r="AO29" s="86"/>
    </row>
    <row r="30" spans="2:46">
      <c r="B30" s="92" t="s">
        <v>20</v>
      </c>
      <c r="C30" s="101"/>
      <c r="S30" s="90"/>
      <c r="T30" s="91"/>
      <c r="U30" s="91"/>
      <c r="W30" s="91"/>
      <c r="X30" s="91"/>
      <c r="Z30" s="91"/>
      <c r="AA30" s="91"/>
      <c r="AC30" s="91"/>
      <c r="AD30" s="91"/>
      <c r="AF30" s="91"/>
      <c r="AG30" s="91"/>
      <c r="AI30" s="86"/>
      <c r="AJ30" s="86"/>
      <c r="AK30" s="86"/>
      <c r="AL30" s="86"/>
      <c r="AM30" s="86"/>
      <c r="AO30" s="86"/>
    </row>
    <row r="31" spans="2:46">
      <c r="B31" s="411" t="s">
        <v>211</v>
      </c>
      <c r="C31" s="90"/>
      <c r="D31" s="125">
        <v>238193.3</v>
      </c>
      <c r="E31" s="125">
        <v>213363.98</v>
      </c>
      <c r="F31" s="125">
        <v>232260.47</v>
      </c>
      <c r="G31" s="125">
        <v>241930.41</v>
      </c>
      <c r="H31" s="125">
        <v>261708.6</v>
      </c>
      <c r="I31" s="125">
        <v>245349.29</v>
      </c>
      <c r="J31" s="125">
        <v>290106.98</v>
      </c>
      <c r="K31" s="125">
        <v>245594.58</v>
      </c>
      <c r="L31" s="125">
        <v>240868.84</v>
      </c>
      <c r="M31" s="125">
        <v>280327.46999999997</v>
      </c>
      <c r="N31" s="125">
        <v>245127.21</v>
      </c>
      <c r="O31" s="125">
        <v>274841.45</v>
      </c>
      <c r="P31" s="125">
        <v>270735.07</v>
      </c>
      <c r="Q31" s="125">
        <v>247075.59</v>
      </c>
      <c r="R31" s="125">
        <v>271204.65000000002</v>
      </c>
      <c r="S31" s="103"/>
      <c r="T31" s="91">
        <f t="shared" ref="T31:T52" si="37">SUM(G31:R31)</f>
        <v>3114870.1399999997</v>
      </c>
      <c r="U31" s="91">
        <f t="shared" ref="U31:U54" si="38">T31/Units</f>
        <v>19467.938374999998</v>
      </c>
      <c r="W31" s="91">
        <f t="shared" ref="W31:W52" si="39">(SUM(J31:R31)/9)*12</f>
        <v>3154509.12</v>
      </c>
      <c r="X31" s="91">
        <f t="shared" ref="X31:X54" si="40">W31/Units</f>
        <v>19715.682000000001</v>
      </c>
      <c r="Z31" s="91">
        <f t="shared" ref="Z31:Z52" si="41">(SUM(M31:R31)/6)*12</f>
        <v>3178622.88</v>
      </c>
      <c r="AA31" s="91">
        <f t="shared" ref="AA31:AA54" si="42">Z31/Units</f>
        <v>19866.393</v>
      </c>
      <c r="AC31" s="91">
        <f t="shared" ref="AC31:AC52" si="43">(SUM(P31:R31)/3)*12</f>
        <v>3156061.24</v>
      </c>
      <c r="AD31" s="91">
        <f t="shared" ref="AD31:AD54" si="44">AC31/Units</f>
        <v>19725.382750000001</v>
      </c>
      <c r="AF31" s="91">
        <f t="shared" ref="AF31:AF52" si="45">R31*12</f>
        <v>3254455.8000000003</v>
      </c>
      <c r="AG31" s="91">
        <f t="shared" ref="AG31:AG54" si="46">AF31/Units</f>
        <v>20340.348750000001</v>
      </c>
      <c r="AI31" s="90"/>
      <c r="AJ31" s="100">
        <v>19800</v>
      </c>
      <c r="AK31" s="86"/>
      <c r="AL31" s="90">
        <f>AJ31*Units</f>
        <v>3168000</v>
      </c>
      <c r="AM31" s="86"/>
      <c r="AN31" s="85">
        <f>'Trailing-12 &amp; Pro Forma'!AA31</f>
        <v>19866.393</v>
      </c>
      <c r="AO31" s="86"/>
      <c r="AP31" s="85">
        <f>'Trailing-12 &amp; Pro Forma'!AD31</f>
        <v>19725.382750000001</v>
      </c>
      <c r="AR31" s="85">
        <f>'Trailing-12 &amp; Pro Forma'!AG31</f>
        <v>20340.348750000001</v>
      </c>
      <c r="AT31" s="85">
        <f>AVERAGE(AR31,AP31,AN31)</f>
        <v>19977.374833333335</v>
      </c>
    </row>
    <row r="32" spans="2:46">
      <c r="B32" s="411" t="s">
        <v>25</v>
      </c>
      <c r="C32" s="90"/>
      <c r="D32" s="125">
        <v>6939.3</v>
      </c>
      <c r="E32" s="125">
        <v>6001.04</v>
      </c>
      <c r="F32" s="125">
        <v>27809.18</v>
      </c>
      <c r="G32" s="125">
        <v>0</v>
      </c>
      <c r="H32" s="125">
        <v>8349.94</v>
      </c>
      <c r="I32" s="125">
        <v>3859.6</v>
      </c>
      <c r="J32" s="125">
        <v>13026.17</v>
      </c>
      <c r="K32" s="125">
        <v>2321.84</v>
      </c>
      <c r="L32" s="125">
        <v>11654.96</v>
      </c>
      <c r="M32" s="125">
        <v>-1285.06</v>
      </c>
      <c r="N32" s="125">
        <v>7679.93</v>
      </c>
      <c r="O32" s="125">
        <v>8891.18</v>
      </c>
      <c r="P32" s="125">
        <v>7546.79</v>
      </c>
      <c r="Q32" s="125">
        <v>5416.34</v>
      </c>
      <c r="R32" s="125">
        <v>4143.1400000000003</v>
      </c>
      <c r="S32" s="103"/>
      <c r="T32" s="91">
        <f t="shared" si="37"/>
        <v>71604.83</v>
      </c>
      <c r="U32" s="91">
        <f t="shared" si="38"/>
        <v>447.53018750000001</v>
      </c>
      <c r="W32" s="91">
        <f t="shared" si="39"/>
        <v>79193.719999999987</v>
      </c>
      <c r="X32" s="91">
        <f t="shared" si="40"/>
        <v>494.9607499999999</v>
      </c>
      <c r="Z32" s="91">
        <f t="shared" si="41"/>
        <v>64784.639999999999</v>
      </c>
      <c r="AA32" s="91">
        <f t="shared" si="42"/>
        <v>404.904</v>
      </c>
      <c r="AC32" s="91">
        <f t="shared" si="43"/>
        <v>68425.08</v>
      </c>
      <c r="AD32" s="91">
        <f t="shared" si="44"/>
        <v>427.65674999999999</v>
      </c>
      <c r="AF32" s="91">
        <f t="shared" si="45"/>
        <v>49717.680000000008</v>
      </c>
      <c r="AG32" s="91">
        <f t="shared" si="46"/>
        <v>310.73550000000006</v>
      </c>
      <c r="AI32" s="90"/>
      <c r="AJ32" s="100"/>
      <c r="AK32" s="86"/>
      <c r="AL32" s="90"/>
      <c r="AM32" s="86"/>
      <c r="AO32" s="86"/>
    </row>
    <row r="33" spans="2:46">
      <c r="B33" s="411" t="s">
        <v>21</v>
      </c>
      <c r="C33" s="90"/>
      <c r="D33" s="125">
        <v>11483.05</v>
      </c>
      <c r="E33" s="125">
        <v>11545.85</v>
      </c>
      <c r="F33" s="125">
        <v>12353.44</v>
      </c>
      <c r="G33" s="125">
        <v>10512.78</v>
      </c>
      <c r="H33" s="125">
        <v>11719.37</v>
      </c>
      <c r="I33" s="125">
        <v>11160.98</v>
      </c>
      <c r="J33" s="125">
        <v>14759.44</v>
      </c>
      <c r="K33" s="125">
        <v>14165.57</v>
      </c>
      <c r="L33" s="125">
        <v>15505.36</v>
      </c>
      <c r="M33" s="125">
        <v>10674.3</v>
      </c>
      <c r="N33" s="125">
        <v>12108.79</v>
      </c>
      <c r="O33" s="125">
        <v>13849.64</v>
      </c>
      <c r="P33" s="125">
        <v>11751.81</v>
      </c>
      <c r="Q33" s="125">
        <v>20313.18</v>
      </c>
      <c r="R33" s="125">
        <v>10493.19</v>
      </c>
      <c r="S33" s="103"/>
      <c r="T33" s="91">
        <f t="shared" si="37"/>
        <v>157014.41</v>
      </c>
      <c r="U33" s="91">
        <f t="shared" si="38"/>
        <v>981.34006250000004</v>
      </c>
      <c r="W33" s="91">
        <f t="shared" si="39"/>
        <v>164828.37333333332</v>
      </c>
      <c r="X33" s="91">
        <f t="shared" si="40"/>
        <v>1030.1773333333333</v>
      </c>
      <c r="Z33" s="91">
        <f t="shared" si="41"/>
        <v>158381.82</v>
      </c>
      <c r="AA33" s="91">
        <f t="shared" si="42"/>
        <v>989.88637500000004</v>
      </c>
      <c r="AC33" s="91">
        <f t="shared" si="43"/>
        <v>170232.72</v>
      </c>
      <c r="AD33" s="91">
        <f t="shared" si="44"/>
        <v>1063.9545000000001</v>
      </c>
      <c r="AF33" s="91">
        <f t="shared" si="45"/>
        <v>125918.28</v>
      </c>
      <c r="AG33" s="91">
        <f t="shared" si="46"/>
        <v>786.98924999999997</v>
      </c>
      <c r="AI33" s="90"/>
      <c r="AJ33" s="100">
        <v>980</v>
      </c>
      <c r="AK33" s="86"/>
      <c r="AL33" s="90">
        <f>AJ33*Units</f>
        <v>156800</v>
      </c>
      <c r="AM33" s="86"/>
      <c r="AN33" s="85">
        <f>'Trailing-12 &amp; Pro Forma'!AA33</f>
        <v>989.88637500000004</v>
      </c>
      <c r="AO33" s="86"/>
      <c r="AP33" s="85">
        <f>'Trailing-12 &amp; Pro Forma'!AD33</f>
        <v>1063.9545000000001</v>
      </c>
      <c r="AR33" s="85">
        <f>'Trailing-12 &amp; Pro Forma'!AG33</f>
        <v>786.98924999999997</v>
      </c>
      <c r="AT33" s="85">
        <f>AVERAGE(AR33,AP33,AN33)</f>
        <v>946.94337499999995</v>
      </c>
    </row>
    <row r="34" spans="2:46">
      <c r="B34" s="411" t="s">
        <v>22</v>
      </c>
      <c r="C34" s="90"/>
      <c r="D34" s="125">
        <v>10768.03</v>
      </c>
      <c r="E34" s="125">
        <v>8472.73</v>
      </c>
      <c r="F34" s="125">
        <v>14882.53</v>
      </c>
      <c r="G34" s="125">
        <v>14709.94</v>
      </c>
      <c r="H34" s="125">
        <v>14229.6</v>
      </c>
      <c r="I34" s="125">
        <v>20406.240000000002</v>
      </c>
      <c r="J34" s="125">
        <v>7924.61</v>
      </c>
      <c r="K34" s="125">
        <v>21995.79</v>
      </c>
      <c r="L34" s="125">
        <v>10875.53</v>
      </c>
      <c r="M34" s="125">
        <v>4014.66</v>
      </c>
      <c r="N34" s="125">
        <v>11634.66</v>
      </c>
      <c r="O34" s="125">
        <v>17898.98</v>
      </c>
      <c r="P34" s="125">
        <v>7879.45</v>
      </c>
      <c r="Q34" s="125">
        <v>7982.98</v>
      </c>
      <c r="R34" s="125">
        <v>12884.41</v>
      </c>
      <c r="S34" s="103"/>
      <c r="T34" s="91">
        <f t="shared" si="37"/>
        <v>152436.85</v>
      </c>
      <c r="U34" s="91">
        <f t="shared" si="38"/>
        <v>952.73031250000008</v>
      </c>
      <c r="W34" s="91">
        <f t="shared" si="39"/>
        <v>137454.75999999998</v>
      </c>
      <c r="X34" s="91">
        <f t="shared" si="40"/>
        <v>859.09224999999992</v>
      </c>
      <c r="Z34" s="91">
        <f t="shared" si="41"/>
        <v>124590.28</v>
      </c>
      <c r="AA34" s="91">
        <f t="shared" si="42"/>
        <v>778.68925000000002</v>
      </c>
      <c r="AC34" s="91">
        <f t="shared" si="43"/>
        <v>114987.36000000002</v>
      </c>
      <c r="AD34" s="91">
        <f t="shared" si="44"/>
        <v>718.67100000000005</v>
      </c>
      <c r="AF34" s="91">
        <f t="shared" si="45"/>
        <v>154612.91999999998</v>
      </c>
      <c r="AG34" s="91">
        <f t="shared" si="46"/>
        <v>966.33074999999985</v>
      </c>
      <c r="AI34" s="90"/>
      <c r="AJ34" s="100">
        <v>950</v>
      </c>
      <c r="AK34" s="86"/>
      <c r="AL34" s="90">
        <f>AJ34*Units</f>
        <v>152000</v>
      </c>
      <c r="AM34" s="86"/>
      <c r="AN34" s="85">
        <f>'Trailing-12 &amp; Pro Forma'!AA34</f>
        <v>778.68925000000002</v>
      </c>
      <c r="AO34" s="86"/>
      <c r="AP34" s="85">
        <f>'Trailing-12 &amp; Pro Forma'!AD34</f>
        <v>718.67100000000005</v>
      </c>
      <c r="AR34" s="85">
        <f>'Trailing-12 &amp; Pro Forma'!AG34</f>
        <v>966.33074999999985</v>
      </c>
      <c r="AT34" s="85">
        <f>AVERAGE(AR34,AP34,AN34)</f>
        <v>821.23033333333331</v>
      </c>
    </row>
    <row r="35" spans="2:46">
      <c r="B35" s="411" t="s">
        <v>212</v>
      </c>
      <c r="C35" s="90"/>
      <c r="D35" s="125">
        <v>16013</v>
      </c>
      <c r="E35" s="125">
        <v>18929.95</v>
      </c>
      <c r="F35" s="125">
        <v>20472.14</v>
      </c>
      <c r="G35" s="125">
        <v>17567.830000000002</v>
      </c>
      <c r="H35" s="125">
        <v>18072.53</v>
      </c>
      <c r="I35" s="125">
        <v>18742.41</v>
      </c>
      <c r="J35" s="125">
        <v>23329.03</v>
      </c>
      <c r="K35" s="125">
        <v>25558.71</v>
      </c>
      <c r="L35" s="125">
        <v>22516.83</v>
      </c>
      <c r="M35" s="125">
        <v>23104.32</v>
      </c>
      <c r="N35" s="125">
        <v>24016.52</v>
      </c>
      <c r="O35" s="125">
        <v>22814.61</v>
      </c>
      <c r="P35" s="125">
        <v>19003.32</v>
      </c>
      <c r="Q35" s="125">
        <v>24408.59</v>
      </c>
      <c r="R35" s="125">
        <v>21573.34</v>
      </c>
      <c r="S35" s="103"/>
      <c r="T35" s="91">
        <f t="shared" si="37"/>
        <v>260708.03999999998</v>
      </c>
      <c r="U35" s="91">
        <f t="shared" si="38"/>
        <v>1629.4252499999998</v>
      </c>
      <c r="W35" s="91">
        <f t="shared" si="39"/>
        <v>275100.36000000004</v>
      </c>
      <c r="X35" s="91">
        <f t="shared" si="40"/>
        <v>1719.3772500000002</v>
      </c>
      <c r="Z35" s="91">
        <f t="shared" si="41"/>
        <v>269841.39999999997</v>
      </c>
      <c r="AA35" s="91">
        <f t="shared" si="42"/>
        <v>1686.5087499999997</v>
      </c>
      <c r="AC35" s="91">
        <f t="shared" si="43"/>
        <v>259941</v>
      </c>
      <c r="AD35" s="91">
        <f t="shared" si="44"/>
        <v>1624.6312499999999</v>
      </c>
      <c r="AF35" s="91">
        <f t="shared" si="45"/>
        <v>258880.08000000002</v>
      </c>
      <c r="AG35" s="91">
        <f t="shared" si="46"/>
        <v>1618.0005000000001</v>
      </c>
      <c r="AI35" s="90"/>
      <c r="AJ35" s="100"/>
      <c r="AK35" s="86"/>
      <c r="AL35" s="90"/>
      <c r="AM35" s="86"/>
      <c r="AO35" s="86"/>
    </row>
    <row r="36" spans="2:46">
      <c r="B36" s="411" t="s">
        <v>213</v>
      </c>
      <c r="C36" s="90"/>
      <c r="D36" s="125">
        <v>3200</v>
      </c>
      <c r="E36" s="125">
        <v>3782.92</v>
      </c>
      <c r="F36" s="125">
        <v>4091.1</v>
      </c>
      <c r="G36" s="125">
        <v>3510.71</v>
      </c>
      <c r="H36" s="125">
        <v>3611.57</v>
      </c>
      <c r="I36" s="125">
        <v>3745.44</v>
      </c>
      <c r="J36" s="125">
        <v>4662.0200000000004</v>
      </c>
      <c r="K36" s="125">
        <v>5107.59</v>
      </c>
      <c r="L36" s="125">
        <v>4499.71</v>
      </c>
      <c r="M36" s="125">
        <v>4617.1099999999997</v>
      </c>
      <c r="N36" s="125">
        <v>4799.3999999999996</v>
      </c>
      <c r="O36" s="125">
        <v>4559.22</v>
      </c>
      <c r="P36" s="125">
        <v>3797.58</v>
      </c>
      <c r="Q36" s="125">
        <v>4877.76</v>
      </c>
      <c r="R36" s="125">
        <v>4311.17</v>
      </c>
      <c r="S36" s="103"/>
      <c r="T36" s="91">
        <f t="shared" si="37"/>
        <v>52099.280000000006</v>
      </c>
      <c r="U36" s="91">
        <f t="shared" si="38"/>
        <v>325.62050000000005</v>
      </c>
      <c r="W36" s="91">
        <f t="shared" si="39"/>
        <v>54975.413333333345</v>
      </c>
      <c r="X36" s="91">
        <f t="shared" si="40"/>
        <v>343.5963333333334</v>
      </c>
      <c r="Z36" s="91">
        <f t="shared" si="41"/>
        <v>53924.479999999996</v>
      </c>
      <c r="AA36" s="91">
        <f t="shared" si="42"/>
        <v>337.02799999999996</v>
      </c>
      <c r="AC36" s="91">
        <f t="shared" si="43"/>
        <v>51946.040000000008</v>
      </c>
      <c r="AD36" s="91">
        <f t="shared" si="44"/>
        <v>324.66275000000007</v>
      </c>
      <c r="AF36" s="91">
        <f t="shared" si="45"/>
        <v>51734.04</v>
      </c>
      <c r="AG36" s="91">
        <f t="shared" si="46"/>
        <v>323.33775000000003</v>
      </c>
      <c r="AI36" s="90"/>
      <c r="AJ36" s="100"/>
      <c r="AK36" s="86"/>
      <c r="AL36" s="90"/>
      <c r="AM36" s="86"/>
      <c r="AO36" s="86"/>
    </row>
    <row r="37" spans="2:46">
      <c r="B37" s="411" t="s">
        <v>214</v>
      </c>
      <c r="C37" s="90"/>
      <c r="D37" s="125">
        <v>800</v>
      </c>
      <c r="E37" s="125">
        <v>945.73</v>
      </c>
      <c r="F37" s="125">
        <v>1022.78</v>
      </c>
      <c r="G37" s="125">
        <v>877.68</v>
      </c>
      <c r="H37" s="125">
        <v>902.89</v>
      </c>
      <c r="I37" s="125">
        <v>936.36</v>
      </c>
      <c r="J37" s="125">
        <v>1165.5</v>
      </c>
      <c r="K37" s="125">
        <v>1276.9000000000001</v>
      </c>
      <c r="L37" s="125">
        <v>1124.93</v>
      </c>
      <c r="M37" s="125">
        <v>1154.28</v>
      </c>
      <c r="N37" s="125">
        <v>1199.8499999999999</v>
      </c>
      <c r="O37" s="125">
        <v>1139.8</v>
      </c>
      <c r="P37" s="125">
        <v>949.39</v>
      </c>
      <c r="Q37" s="125">
        <v>1219.44</v>
      </c>
      <c r="R37" s="125">
        <v>1077.79</v>
      </c>
      <c r="S37" s="103"/>
      <c r="T37" s="91">
        <f t="shared" si="37"/>
        <v>13024.809999999998</v>
      </c>
      <c r="U37" s="91">
        <f t="shared" si="38"/>
        <v>81.405062499999985</v>
      </c>
      <c r="W37" s="91">
        <f t="shared" si="39"/>
        <v>13743.840000000002</v>
      </c>
      <c r="X37" s="91">
        <f t="shared" si="40"/>
        <v>85.899000000000015</v>
      </c>
      <c r="Z37" s="91">
        <f t="shared" si="41"/>
        <v>13481.099999999999</v>
      </c>
      <c r="AA37" s="91">
        <f t="shared" si="42"/>
        <v>84.256874999999994</v>
      </c>
      <c r="AC37" s="91">
        <f t="shared" si="43"/>
        <v>12986.48</v>
      </c>
      <c r="AD37" s="91">
        <f t="shared" si="44"/>
        <v>81.165499999999994</v>
      </c>
      <c r="AF37" s="91">
        <f t="shared" si="45"/>
        <v>12933.48</v>
      </c>
      <c r="AG37" s="91">
        <f t="shared" si="46"/>
        <v>80.834249999999997</v>
      </c>
      <c r="AI37" s="90"/>
      <c r="AJ37" s="100"/>
      <c r="AK37" s="86"/>
      <c r="AL37" s="90"/>
      <c r="AM37" s="86"/>
      <c r="AO37" s="86"/>
    </row>
    <row r="38" spans="2:46">
      <c r="B38" s="411" t="s">
        <v>215</v>
      </c>
      <c r="C38" s="90"/>
      <c r="D38" s="125">
        <v>0</v>
      </c>
      <c r="E38" s="125">
        <v>0</v>
      </c>
      <c r="F38" s="125">
        <v>0</v>
      </c>
      <c r="G38" s="125">
        <v>0</v>
      </c>
      <c r="H38" s="125">
        <v>0</v>
      </c>
      <c r="I38" s="125">
        <v>0</v>
      </c>
      <c r="J38" s="125">
        <v>0</v>
      </c>
      <c r="K38" s="125">
        <v>0</v>
      </c>
      <c r="L38" s="125">
        <v>0</v>
      </c>
      <c r="M38" s="125">
        <v>0</v>
      </c>
      <c r="N38" s="125">
        <v>0</v>
      </c>
      <c r="O38" s="125">
        <v>0</v>
      </c>
      <c r="P38" s="125">
        <v>0</v>
      </c>
      <c r="Q38" s="125">
        <v>0</v>
      </c>
      <c r="R38" s="125">
        <v>0</v>
      </c>
      <c r="S38" s="103"/>
      <c r="T38" s="91">
        <f t="shared" si="37"/>
        <v>0</v>
      </c>
      <c r="U38" s="91">
        <f t="shared" si="38"/>
        <v>0</v>
      </c>
      <c r="W38" s="91">
        <f t="shared" si="39"/>
        <v>0</v>
      </c>
      <c r="X38" s="91">
        <f t="shared" si="40"/>
        <v>0</v>
      </c>
      <c r="Z38" s="91">
        <f t="shared" si="41"/>
        <v>0</v>
      </c>
      <c r="AA38" s="91">
        <f t="shared" si="42"/>
        <v>0</v>
      </c>
      <c r="AC38" s="91">
        <f t="shared" si="43"/>
        <v>0</v>
      </c>
      <c r="AD38" s="91">
        <f t="shared" si="44"/>
        <v>0</v>
      </c>
      <c r="AF38" s="91">
        <f t="shared" si="45"/>
        <v>0</v>
      </c>
      <c r="AG38" s="91">
        <f t="shared" si="46"/>
        <v>0</v>
      </c>
      <c r="AI38" s="90"/>
      <c r="AJ38" s="100"/>
      <c r="AK38" s="86"/>
      <c r="AL38" s="90"/>
      <c r="AM38" s="86"/>
      <c r="AO38" s="86"/>
    </row>
    <row r="39" spans="2:46">
      <c r="B39" s="411" t="s">
        <v>23</v>
      </c>
      <c r="C39" s="90"/>
      <c r="D39" s="125">
        <v>9652.3799999999992</v>
      </c>
      <c r="E39" s="125">
        <v>7873.48</v>
      </c>
      <c r="F39" s="125">
        <v>6863.91</v>
      </c>
      <c r="G39" s="125">
        <v>11951.72</v>
      </c>
      <c r="H39" s="125">
        <v>9515.99</v>
      </c>
      <c r="I39" s="125">
        <v>9459.8799999999992</v>
      </c>
      <c r="J39" s="125">
        <v>13867.96</v>
      </c>
      <c r="K39" s="125">
        <v>11754.33</v>
      </c>
      <c r="L39" s="125">
        <v>8847.14</v>
      </c>
      <c r="M39" s="125">
        <v>12659.54</v>
      </c>
      <c r="N39" s="125">
        <v>8591.74</v>
      </c>
      <c r="O39" s="125">
        <v>10482.719999999999</v>
      </c>
      <c r="P39" s="125">
        <v>10144.219999999999</v>
      </c>
      <c r="Q39" s="125">
        <v>10988.86</v>
      </c>
      <c r="R39" s="125">
        <v>8008.5</v>
      </c>
      <c r="S39" s="103"/>
      <c r="T39" s="91">
        <f t="shared" si="37"/>
        <v>126272.6</v>
      </c>
      <c r="U39" s="91">
        <f t="shared" si="38"/>
        <v>789.20375000000001</v>
      </c>
      <c r="W39" s="91">
        <f t="shared" si="39"/>
        <v>127126.68</v>
      </c>
      <c r="X39" s="91">
        <f t="shared" si="40"/>
        <v>794.54174999999998</v>
      </c>
      <c r="Z39" s="91">
        <f t="shared" si="41"/>
        <v>121751.16</v>
      </c>
      <c r="AA39" s="91">
        <f t="shared" si="42"/>
        <v>760.94475</v>
      </c>
      <c r="AC39" s="91">
        <f t="shared" si="43"/>
        <v>116566.32</v>
      </c>
      <c r="AD39" s="91">
        <f t="shared" si="44"/>
        <v>728.53950000000009</v>
      </c>
      <c r="AF39" s="91">
        <f t="shared" si="45"/>
        <v>96102</v>
      </c>
      <c r="AG39" s="91">
        <f t="shared" si="46"/>
        <v>600.63750000000005</v>
      </c>
      <c r="AI39" s="90"/>
      <c r="AJ39" s="100">
        <v>725</v>
      </c>
      <c r="AK39" s="86"/>
      <c r="AL39" s="90">
        <f>AJ39*Units</f>
        <v>116000</v>
      </c>
      <c r="AM39" s="86"/>
      <c r="AN39" s="85">
        <f>'Trailing-12 &amp; Pro Forma'!AA39</f>
        <v>760.94475</v>
      </c>
      <c r="AO39" s="86"/>
      <c r="AP39" s="85">
        <f>'Trailing-12 &amp; Pro Forma'!AD39</f>
        <v>728.53950000000009</v>
      </c>
      <c r="AR39" s="85">
        <f>'Trailing-12 &amp; Pro Forma'!AG39</f>
        <v>600.63750000000005</v>
      </c>
      <c r="AT39" s="85">
        <f>AVERAGE(AR39,AP39,AN39)</f>
        <v>696.70725000000004</v>
      </c>
    </row>
    <row r="40" spans="2:46">
      <c r="B40" s="411" t="s">
        <v>24</v>
      </c>
      <c r="C40" s="90"/>
      <c r="D40" s="125">
        <v>6641.01</v>
      </c>
      <c r="E40" s="125">
        <v>6129.23</v>
      </c>
      <c r="F40" s="125">
        <v>6861.92</v>
      </c>
      <c r="G40" s="125">
        <v>9073.64</v>
      </c>
      <c r="H40" s="125">
        <v>6936.86</v>
      </c>
      <c r="I40" s="125">
        <v>6200.39</v>
      </c>
      <c r="J40" s="125">
        <v>6358.72</v>
      </c>
      <c r="K40" s="125">
        <v>7693.47</v>
      </c>
      <c r="L40" s="125">
        <v>6263.91</v>
      </c>
      <c r="M40" s="125">
        <v>6597.53</v>
      </c>
      <c r="N40" s="125">
        <v>6249.47</v>
      </c>
      <c r="O40" s="125">
        <v>7887.36</v>
      </c>
      <c r="P40" s="125">
        <v>6403.71</v>
      </c>
      <c r="Q40" s="125">
        <v>7026.4</v>
      </c>
      <c r="R40" s="125">
        <v>6336.48</v>
      </c>
      <c r="S40" s="103"/>
      <c r="T40" s="91">
        <f t="shared" si="37"/>
        <v>83027.94</v>
      </c>
      <c r="U40" s="91">
        <f t="shared" si="38"/>
        <v>518.92462499999999</v>
      </c>
      <c r="W40" s="91">
        <f t="shared" si="39"/>
        <v>81089.400000000009</v>
      </c>
      <c r="X40" s="91">
        <f t="shared" si="40"/>
        <v>506.80875000000003</v>
      </c>
      <c r="Z40" s="91">
        <f t="shared" si="41"/>
        <v>81001.899999999994</v>
      </c>
      <c r="AA40" s="91">
        <f t="shared" si="42"/>
        <v>506.26187499999997</v>
      </c>
      <c r="AC40" s="91">
        <f t="shared" si="43"/>
        <v>79066.36</v>
      </c>
      <c r="AD40" s="91">
        <f t="shared" si="44"/>
        <v>494.16475000000003</v>
      </c>
      <c r="AF40" s="91">
        <f t="shared" si="45"/>
        <v>76037.759999999995</v>
      </c>
      <c r="AG40" s="91">
        <f t="shared" si="46"/>
        <v>475.23599999999999</v>
      </c>
      <c r="AI40" s="90"/>
      <c r="AJ40" s="100">
        <v>535</v>
      </c>
      <c r="AK40" s="86"/>
      <c r="AL40" s="90">
        <f>AJ40*Units</f>
        <v>85600</v>
      </c>
      <c r="AM40" s="86"/>
      <c r="AN40" s="85">
        <f>'Trailing-12 &amp; Pro Forma'!AA40</f>
        <v>506.26187499999997</v>
      </c>
      <c r="AO40" s="86"/>
      <c r="AP40" s="85">
        <f>'Trailing-12 &amp; Pro Forma'!AD40</f>
        <v>494.16475000000003</v>
      </c>
      <c r="AR40" s="85">
        <f>'Trailing-12 &amp; Pro Forma'!AG40</f>
        <v>475.23599999999999</v>
      </c>
      <c r="AT40" s="85">
        <f>AVERAGE(AR40,AP40,AN40)</f>
        <v>491.88754166666666</v>
      </c>
    </row>
    <row r="41" spans="2:46">
      <c r="B41" s="411" t="s">
        <v>26</v>
      </c>
      <c r="C41" s="90"/>
      <c r="D41" s="125">
        <v>5315.64</v>
      </c>
      <c r="E41" s="125">
        <v>2466.91</v>
      </c>
      <c r="F41" s="125">
        <v>6978.95</v>
      </c>
      <c r="G41" s="125">
        <v>3620.88</v>
      </c>
      <c r="H41" s="125">
        <v>4875.5600000000004</v>
      </c>
      <c r="I41" s="125">
        <v>3709.56</v>
      </c>
      <c r="J41" s="125">
        <v>2452.91</v>
      </c>
      <c r="K41" s="125">
        <v>3950.14</v>
      </c>
      <c r="L41" s="125">
        <v>5148.5600000000004</v>
      </c>
      <c r="M41" s="125">
        <v>4191.1400000000003</v>
      </c>
      <c r="N41" s="125">
        <v>2871.21</v>
      </c>
      <c r="O41" s="125">
        <v>2507.6</v>
      </c>
      <c r="P41" s="125">
        <v>3585.77</v>
      </c>
      <c r="Q41" s="125">
        <v>2315.98</v>
      </c>
      <c r="R41" s="125">
        <v>4740.99</v>
      </c>
      <c r="S41" s="103"/>
      <c r="T41" s="91">
        <f t="shared" si="37"/>
        <v>43970.299999999996</v>
      </c>
      <c r="U41" s="91">
        <f t="shared" si="38"/>
        <v>274.81437499999998</v>
      </c>
      <c r="W41" s="91">
        <f t="shared" si="39"/>
        <v>42352.399999999994</v>
      </c>
      <c r="X41" s="91">
        <f t="shared" si="40"/>
        <v>264.70249999999999</v>
      </c>
      <c r="Z41" s="91">
        <f t="shared" si="41"/>
        <v>40425.380000000005</v>
      </c>
      <c r="AA41" s="91">
        <f t="shared" si="42"/>
        <v>252.65862500000003</v>
      </c>
      <c r="AC41" s="91">
        <f t="shared" si="43"/>
        <v>42570.96</v>
      </c>
      <c r="AD41" s="91">
        <f t="shared" si="44"/>
        <v>266.06849999999997</v>
      </c>
      <c r="AF41" s="91">
        <f t="shared" si="45"/>
        <v>56891.88</v>
      </c>
      <c r="AG41" s="91">
        <f t="shared" si="46"/>
        <v>355.57425000000001</v>
      </c>
      <c r="AI41" s="90"/>
      <c r="AJ41" s="100">
        <v>255</v>
      </c>
      <c r="AK41" s="86"/>
      <c r="AL41" s="90">
        <f>AJ41*Units</f>
        <v>40800</v>
      </c>
      <c r="AM41" s="86"/>
      <c r="AN41" s="85">
        <f>'Trailing-12 &amp; Pro Forma'!AA41</f>
        <v>252.65862500000003</v>
      </c>
      <c r="AO41" s="86"/>
      <c r="AP41" s="85">
        <f>'Trailing-12 &amp; Pro Forma'!AD41</f>
        <v>266.06849999999997</v>
      </c>
      <c r="AR41" s="85">
        <f>'Trailing-12 &amp; Pro Forma'!AG41</f>
        <v>355.57425000000001</v>
      </c>
      <c r="AT41" s="85">
        <f>AVERAGE(AR41,AP41,AN41)</f>
        <v>291.43379166666665</v>
      </c>
    </row>
    <row r="42" spans="2:46">
      <c r="B42" s="411" t="s">
        <v>27</v>
      </c>
      <c r="C42" s="90"/>
      <c r="D42" s="125">
        <v>2195.15</v>
      </c>
      <c r="E42" s="125">
        <v>2196</v>
      </c>
      <c r="F42" s="125">
        <v>7437.42</v>
      </c>
      <c r="G42" s="125">
        <v>2148.67</v>
      </c>
      <c r="H42" s="125">
        <v>2403.4899999999998</v>
      </c>
      <c r="I42" s="125">
        <v>2376.89</v>
      </c>
      <c r="J42" s="125">
        <v>2212.48</v>
      </c>
      <c r="K42" s="125">
        <v>7595.04</v>
      </c>
      <c r="L42" s="125">
        <v>2734.28</v>
      </c>
      <c r="M42" s="125">
        <v>2548.23</v>
      </c>
      <c r="N42" s="125">
        <v>5675.12</v>
      </c>
      <c r="O42" s="125">
        <v>2080.15</v>
      </c>
      <c r="P42" s="125">
        <v>3533.28</v>
      </c>
      <c r="Q42" s="125">
        <v>3973.06</v>
      </c>
      <c r="R42" s="125">
        <v>3569.53</v>
      </c>
      <c r="S42" s="103"/>
      <c r="T42" s="91">
        <f t="shared" si="37"/>
        <v>40850.219999999994</v>
      </c>
      <c r="U42" s="91">
        <f t="shared" si="38"/>
        <v>255.31387499999997</v>
      </c>
      <c r="W42" s="91">
        <f t="shared" si="39"/>
        <v>45228.226666666676</v>
      </c>
      <c r="X42" s="91">
        <f t="shared" si="40"/>
        <v>282.67641666666674</v>
      </c>
      <c r="Z42" s="91">
        <f t="shared" si="41"/>
        <v>42758.74</v>
      </c>
      <c r="AA42" s="91">
        <f t="shared" si="42"/>
        <v>267.24212499999999</v>
      </c>
      <c r="AC42" s="91">
        <f t="shared" si="43"/>
        <v>44303.48</v>
      </c>
      <c r="AD42" s="91">
        <f t="shared" si="44"/>
        <v>276.89675</v>
      </c>
      <c r="AF42" s="91">
        <f t="shared" si="45"/>
        <v>42834.36</v>
      </c>
      <c r="AG42" s="91">
        <f t="shared" si="46"/>
        <v>267.71474999999998</v>
      </c>
      <c r="AI42" s="90"/>
      <c r="AJ42" s="100">
        <v>280</v>
      </c>
      <c r="AK42" s="86"/>
      <c r="AL42" s="90">
        <f>AJ42*Units</f>
        <v>44800</v>
      </c>
      <c r="AM42" s="86"/>
      <c r="AN42" s="85">
        <f>'Trailing-12 &amp; Pro Forma'!AA42</f>
        <v>267.24212499999999</v>
      </c>
      <c r="AO42" s="86"/>
      <c r="AP42" s="85">
        <f>'Trailing-12 &amp; Pro Forma'!AD42</f>
        <v>276.89675</v>
      </c>
      <c r="AR42" s="85">
        <f>'Trailing-12 &amp; Pro Forma'!AG42</f>
        <v>267.71474999999998</v>
      </c>
      <c r="AT42" s="85">
        <f>AVERAGE(AR42,AP42,AN42)</f>
        <v>270.61787499999997</v>
      </c>
    </row>
    <row r="43" spans="2:46">
      <c r="B43" s="411" t="s">
        <v>28</v>
      </c>
      <c r="C43" s="90"/>
      <c r="D43" s="125">
        <v>3583.38</v>
      </c>
      <c r="E43" s="125">
        <v>1672.85</v>
      </c>
      <c r="F43" s="125">
        <v>1671.33</v>
      </c>
      <c r="G43" s="125">
        <v>13586.36</v>
      </c>
      <c r="H43" s="125">
        <v>-4919.79</v>
      </c>
      <c r="I43" s="125">
        <v>3947.18</v>
      </c>
      <c r="J43" s="125">
        <v>3328.46</v>
      </c>
      <c r="K43" s="125">
        <v>8868.75</v>
      </c>
      <c r="L43" s="125">
        <v>-1132.78</v>
      </c>
      <c r="M43" s="125">
        <v>3181.27</v>
      </c>
      <c r="N43" s="125">
        <v>2675.44</v>
      </c>
      <c r="O43" s="125">
        <v>4629.58</v>
      </c>
      <c r="P43" s="125">
        <v>176.63</v>
      </c>
      <c r="Q43" s="125">
        <v>21400.13</v>
      </c>
      <c r="R43" s="125">
        <v>7694.22</v>
      </c>
      <c r="S43" s="103"/>
      <c r="T43" s="91">
        <f t="shared" si="37"/>
        <v>63435.45</v>
      </c>
      <c r="U43" s="91">
        <f t="shared" si="38"/>
        <v>396.4715625</v>
      </c>
      <c r="W43" s="91">
        <f t="shared" si="39"/>
        <v>67762.266666666663</v>
      </c>
      <c r="X43" s="91">
        <f t="shared" si="40"/>
        <v>423.51416666666665</v>
      </c>
      <c r="Z43" s="91">
        <f t="shared" si="41"/>
        <v>79514.540000000008</v>
      </c>
      <c r="AA43" s="91">
        <f t="shared" si="42"/>
        <v>496.96587500000004</v>
      </c>
      <c r="AC43" s="91">
        <f t="shared" si="43"/>
        <v>117083.92000000001</v>
      </c>
      <c r="AD43" s="91">
        <f t="shared" si="44"/>
        <v>731.7745000000001</v>
      </c>
      <c r="AF43" s="91">
        <f t="shared" si="45"/>
        <v>92330.64</v>
      </c>
      <c r="AG43" s="91">
        <f t="shared" si="46"/>
        <v>577.06650000000002</v>
      </c>
      <c r="AI43" s="90"/>
      <c r="AJ43" s="100">
        <v>330</v>
      </c>
      <c r="AK43" s="86"/>
      <c r="AL43" s="90">
        <f>AJ43*Units</f>
        <v>52800</v>
      </c>
      <c r="AM43" s="86"/>
      <c r="AN43" s="85">
        <f>'Trailing-12 &amp; Pro Forma'!AA43</f>
        <v>496.96587500000004</v>
      </c>
      <c r="AO43" s="86"/>
      <c r="AP43" s="85">
        <f>'Trailing-12 &amp; Pro Forma'!AD43</f>
        <v>731.7745000000001</v>
      </c>
      <c r="AR43" s="85">
        <f>'Trailing-12 &amp; Pro Forma'!AG43</f>
        <v>577.06650000000002</v>
      </c>
      <c r="AT43" s="85">
        <f>AVERAGE(AR43,AP43,AN43)</f>
        <v>601.93562500000007</v>
      </c>
    </row>
    <row r="44" spans="2:46">
      <c r="B44" s="411" t="s">
        <v>216</v>
      </c>
      <c r="C44" s="90"/>
      <c r="D44" s="125">
        <v>3600</v>
      </c>
      <c r="E44" s="125">
        <v>3600</v>
      </c>
      <c r="F44" s="125">
        <v>3600</v>
      </c>
      <c r="G44" s="125">
        <v>3600</v>
      </c>
      <c r="H44" s="125">
        <v>3600</v>
      </c>
      <c r="I44" s="125">
        <v>3600</v>
      </c>
      <c r="J44" s="125">
        <v>3600</v>
      </c>
      <c r="K44" s="125">
        <v>3600</v>
      </c>
      <c r="L44" s="125">
        <v>3600</v>
      </c>
      <c r="M44" s="125">
        <v>3600</v>
      </c>
      <c r="N44" s="125">
        <v>3600</v>
      </c>
      <c r="O44" s="125">
        <v>3600</v>
      </c>
      <c r="P44" s="125">
        <v>3600</v>
      </c>
      <c r="Q44" s="125">
        <v>3600</v>
      </c>
      <c r="R44" s="125">
        <v>3600</v>
      </c>
      <c r="S44" s="103"/>
      <c r="T44" s="91">
        <f t="shared" si="37"/>
        <v>43200</v>
      </c>
      <c r="U44" s="91">
        <f t="shared" si="38"/>
        <v>270</v>
      </c>
      <c r="W44" s="91">
        <f t="shared" si="39"/>
        <v>43200</v>
      </c>
      <c r="X44" s="91">
        <f t="shared" si="40"/>
        <v>270</v>
      </c>
      <c r="Z44" s="91">
        <f t="shared" si="41"/>
        <v>43200</v>
      </c>
      <c r="AA44" s="91">
        <f t="shared" si="42"/>
        <v>270</v>
      </c>
      <c r="AC44" s="91">
        <f t="shared" si="43"/>
        <v>43200</v>
      </c>
      <c r="AD44" s="91">
        <f t="shared" si="44"/>
        <v>270</v>
      </c>
      <c r="AF44" s="91">
        <f t="shared" si="45"/>
        <v>43200</v>
      </c>
      <c r="AG44" s="91">
        <f t="shared" si="46"/>
        <v>270</v>
      </c>
      <c r="AI44" s="90"/>
      <c r="AJ44" s="100"/>
      <c r="AK44" s="86"/>
      <c r="AL44" s="90"/>
      <c r="AM44" s="86"/>
      <c r="AO44" s="86"/>
    </row>
    <row r="45" spans="2:46" s="91" customFormat="1">
      <c r="B45" s="411" t="s">
        <v>29</v>
      </c>
      <c r="C45" s="90"/>
      <c r="D45" s="125">
        <v>1247.48</v>
      </c>
      <c r="E45" s="125">
        <v>1828.52</v>
      </c>
      <c r="F45" s="125">
        <v>2006.92</v>
      </c>
      <c r="G45" s="125">
        <v>1441.22</v>
      </c>
      <c r="H45" s="125">
        <v>1214.48</v>
      </c>
      <c r="I45" s="125">
        <v>2259.12</v>
      </c>
      <c r="J45" s="125">
        <v>1354.32</v>
      </c>
      <c r="K45" s="125">
        <v>1662.51</v>
      </c>
      <c r="L45" s="125">
        <v>1819.62</v>
      </c>
      <c r="M45" s="125">
        <v>1746.07</v>
      </c>
      <c r="N45" s="125">
        <v>1415.11</v>
      </c>
      <c r="O45" s="125">
        <v>2090.8000000000002</v>
      </c>
      <c r="P45" s="125">
        <v>1480.23</v>
      </c>
      <c r="Q45" s="125">
        <v>1825.2</v>
      </c>
      <c r="R45" s="125">
        <v>1304.2</v>
      </c>
      <c r="S45" s="103"/>
      <c r="T45" s="91">
        <f t="shared" si="37"/>
        <v>19612.88</v>
      </c>
      <c r="U45" s="91">
        <f t="shared" si="38"/>
        <v>122.5805</v>
      </c>
      <c r="V45" s="90"/>
      <c r="W45" s="91">
        <f t="shared" si="39"/>
        <v>19597.413333333338</v>
      </c>
      <c r="X45" s="91">
        <f t="shared" si="40"/>
        <v>122.48383333333337</v>
      </c>
      <c r="Y45" s="90"/>
      <c r="Z45" s="91">
        <f t="shared" si="41"/>
        <v>19723.22</v>
      </c>
      <c r="AA45" s="91">
        <f t="shared" si="42"/>
        <v>123.27012500000001</v>
      </c>
      <c r="AB45" s="90"/>
      <c r="AC45" s="91">
        <f t="shared" si="43"/>
        <v>18438.52</v>
      </c>
      <c r="AD45" s="91">
        <f t="shared" si="44"/>
        <v>115.24075000000001</v>
      </c>
      <c r="AE45" s="90"/>
      <c r="AF45" s="91">
        <f t="shared" si="45"/>
        <v>15650.400000000001</v>
      </c>
      <c r="AG45" s="91">
        <f t="shared" si="46"/>
        <v>97.815000000000012</v>
      </c>
      <c r="AI45" s="90"/>
      <c r="AJ45" s="100">
        <v>125</v>
      </c>
      <c r="AK45" s="90"/>
      <c r="AL45" s="90">
        <f>AJ45*Units</f>
        <v>20000</v>
      </c>
      <c r="AM45" s="90"/>
      <c r="AN45" s="85">
        <f>'Trailing-12 &amp; Pro Forma'!AA45</f>
        <v>123.27012500000001</v>
      </c>
      <c r="AO45" s="86"/>
      <c r="AP45" s="85">
        <f>'Trailing-12 &amp; Pro Forma'!AD45</f>
        <v>115.24075000000001</v>
      </c>
      <c r="AR45" s="85">
        <f>'Trailing-12 &amp; Pro Forma'!AG45</f>
        <v>97.815000000000012</v>
      </c>
      <c r="AT45" s="85">
        <f>AVERAGE(AR45,AP45,AN45)</f>
        <v>112.108625</v>
      </c>
    </row>
    <row r="46" spans="2:46" s="91" customFormat="1" ht="5.0999999999999996" customHeight="1">
      <c r="B46" s="411"/>
      <c r="C46" s="90"/>
      <c r="D46" s="417"/>
      <c r="E46" s="417"/>
      <c r="F46" s="417"/>
      <c r="G46" s="417"/>
      <c r="H46" s="417"/>
      <c r="I46" s="417"/>
      <c r="J46" s="417"/>
      <c r="K46" s="417"/>
      <c r="L46" s="417"/>
      <c r="M46" s="417"/>
      <c r="N46" s="417"/>
      <c r="O46" s="417"/>
      <c r="P46" s="417"/>
      <c r="Q46" s="417"/>
      <c r="R46" s="417"/>
      <c r="S46" s="103"/>
      <c r="V46" s="90"/>
      <c r="Y46" s="90"/>
      <c r="AB46" s="90"/>
      <c r="AE46" s="90"/>
      <c r="AI46" s="90"/>
      <c r="AJ46" s="103"/>
      <c r="AK46" s="90"/>
      <c r="AL46" s="90"/>
      <c r="AM46" s="90"/>
      <c r="AO46" s="90"/>
    </row>
    <row r="47" spans="2:46" s="91" customFormat="1">
      <c r="B47" s="416" t="s">
        <v>170</v>
      </c>
      <c r="C47" s="90"/>
      <c r="D47" s="442">
        <f>SUM(D31:D45)</f>
        <v>319631.72000000003</v>
      </c>
      <c r="E47" s="442">
        <f t="shared" ref="E47:T47" si="47">SUM(E31:E45)</f>
        <v>288809.19</v>
      </c>
      <c r="F47" s="442">
        <f t="shared" si="47"/>
        <v>348312.08999999997</v>
      </c>
      <c r="G47" s="442">
        <f t="shared" si="47"/>
        <v>334531.83999999997</v>
      </c>
      <c r="H47" s="442">
        <f t="shared" si="47"/>
        <v>342221.08999999991</v>
      </c>
      <c r="I47" s="442">
        <f t="shared" si="47"/>
        <v>335753.34</v>
      </c>
      <c r="J47" s="442">
        <f t="shared" si="47"/>
        <v>388148.6</v>
      </c>
      <c r="K47" s="442">
        <f t="shared" si="47"/>
        <v>361145.22000000003</v>
      </c>
      <c r="L47" s="442">
        <f t="shared" si="47"/>
        <v>334326.89</v>
      </c>
      <c r="M47" s="442">
        <f t="shared" si="47"/>
        <v>357130.86</v>
      </c>
      <c r="N47" s="442">
        <f t="shared" si="47"/>
        <v>337644.44999999995</v>
      </c>
      <c r="O47" s="442">
        <f t="shared" si="47"/>
        <v>377273.08999999991</v>
      </c>
      <c r="P47" s="442">
        <f t="shared" si="47"/>
        <v>350587.25000000006</v>
      </c>
      <c r="Q47" s="442">
        <f t="shared" si="47"/>
        <v>362423.51</v>
      </c>
      <c r="R47" s="442">
        <f t="shared" si="47"/>
        <v>360941.61</v>
      </c>
      <c r="S47" s="103"/>
      <c r="T47" s="442">
        <f t="shared" si="47"/>
        <v>4242127.75</v>
      </c>
      <c r="U47" s="442">
        <f t="shared" si="38"/>
        <v>26513.298437500001</v>
      </c>
      <c r="V47" s="90"/>
      <c r="W47" s="442">
        <f t="shared" ref="W47" si="48">SUM(W31:W45)</f>
        <v>4306161.9733333336</v>
      </c>
      <c r="X47" s="442">
        <f t="shared" si="40"/>
        <v>26913.512333333336</v>
      </c>
      <c r="Y47" s="90"/>
      <c r="Z47" s="442">
        <f t="shared" ref="Z47" si="49">SUM(Z31:Z45)</f>
        <v>4292001.5399999991</v>
      </c>
      <c r="AA47" s="442">
        <f t="shared" si="42"/>
        <v>26825.009624999995</v>
      </c>
      <c r="AB47" s="90"/>
      <c r="AC47" s="442">
        <f t="shared" ref="AC47" si="50">SUM(AC31:AC45)</f>
        <v>4295809.4799999995</v>
      </c>
      <c r="AD47" s="442">
        <f t="shared" si="44"/>
        <v>26848.809249999998</v>
      </c>
      <c r="AE47" s="90"/>
      <c r="AF47" s="442">
        <f t="shared" ref="AF47" si="51">SUM(AF31:AF45)</f>
        <v>4331299.32</v>
      </c>
      <c r="AG47" s="442">
        <f t="shared" si="46"/>
        <v>27070.620750000002</v>
      </c>
      <c r="AI47" s="101"/>
      <c r="AJ47" s="102"/>
      <c r="AK47" s="101"/>
      <c r="AL47" s="98">
        <f>SUM(AL31:AL45)</f>
        <v>3836800</v>
      </c>
      <c r="AM47" s="90"/>
    </row>
    <row r="48" spans="2:46" s="91" customFormat="1">
      <c r="B48" s="453" t="s">
        <v>223</v>
      </c>
      <c r="C48" s="106"/>
      <c r="D48" s="450">
        <f>D47/D$28</f>
        <v>0.42841718535163442</v>
      </c>
      <c r="E48" s="450">
        <f t="shared" ref="E48" si="52">E47/E$28</f>
        <v>0.38740511727096055</v>
      </c>
      <c r="F48" s="450">
        <f t="shared" ref="F48" si="53">F47/F$28</f>
        <v>0.45775271143357321</v>
      </c>
      <c r="G48" s="450">
        <f t="shared" ref="G48" si="54">G47/G$28</f>
        <v>0.45142188543012535</v>
      </c>
      <c r="H48" s="450">
        <f t="shared" ref="H48" si="55">H47/H$28</f>
        <v>0.45473761349884201</v>
      </c>
      <c r="I48" s="450">
        <f t="shared" ref="I48" si="56">I47/I$28</f>
        <v>0.44715157756304003</v>
      </c>
      <c r="J48" s="450">
        <f t="shared" ref="J48" si="57">J47/J$28</f>
        <v>0.49204773079229325</v>
      </c>
      <c r="K48" s="450">
        <f t="shared" ref="K48" si="58">K47/K$28</f>
        <v>0.48051346100804193</v>
      </c>
      <c r="L48" s="450">
        <f t="shared" ref="L48" si="59">L47/L$28</f>
        <v>0.44122376416109776</v>
      </c>
      <c r="M48" s="450">
        <f t="shared" ref="M48" si="60">M47/M$28</f>
        <v>0.46521337067397744</v>
      </c>
      <c r="N48" s="450">
        <f t="shared" ref="N48" si="61">N47/N$28</f>
        <v>0.43500754792051183</v>
      </c>
      <c r="O48" s="450">
        <f t="shared" ref="O48" si="62">O47/O$28</f>
        <v>0.47605184931512023</v>
      </c>
      <c r="P48" s="450">
        <f t="shared" ref="P48" si="63">P47/P$28</f>
        <v>0.43795473497003617</v>
      </c>
      <c r="Q48" s="450">
        <f t="shared" ref="Q48" si="64">Q47/Q$28</f>
        <v>0.45787640994108508</v>
      </c>
      <c r="R48" s="450">
        <f t="shared" ref="R48:T48" si="65">R47/R$28</f>
        <v>0.45886089631810084</v>
      </c>
      <c r="S48" s="103"/>
      <c r="T48" s="450">
        <f t="shared" si="65"/>
        <v>0.45822919325423594</v>
      </c>
      <c r="U48" s="90"/>
      <c r="V48" s="90"/>
      <c r="W48" s="450">
        <f t="shared" ref="W48" si="66">W47/W$28</f>
        <v>0.46050921742793816</v>
      </c>
      <c r="X48" s="90"/>
      <c r="Y48" s="90"/>
      <c r="Z48" s="450">
        <f t="shared" ref="Z48" si="67">Z47/Z$28</f>
        <v>0.45514322111308281</v>
      </c>
      <c r="AA48" s="90"/>
      <c r="AB48" s="90"/>
      <c r="AC48" s="450">
        <f t="shared" ref="AC48" si="68">AC47/AC$28</f>
        <v>0.45149752458446846</v>
      </c>
      <c r="AD48" s="90"/>
      <c r="AE48" s="90"/>
      <c r="AF48" s="450">
        <f t="shared" ref="AF48" si="69">AF47/AF$28</f>
        <v>0.45886089631810084</v>
      </c>
      <c r="AG48" s="90"/>
      <c r="AI48" s="101"/>
      <c r="AJ48" s="102"/>
      <c r="AK48" s="101"/>
      <c r="AL48" s="450">
        <f t="shared" ref="AL48" si="70">AL47/AL$28</f>
        <v>0.39481849272207359</v>
      </c>
      <c r="AM48" s="90"/>
    </row>
    <row r="49" spans="1:46" s="91" customFormat="1" ht="5.0999999999999996" customHeight="1">
      <c r="B49" s="411"/>
      <c r="C49" s="90"/>
      <c r="D49" s="417"/>
      <c r="E49" s="417"/>
      <c r="F49" s="417"/>
      <c r="G49" s="417"/>
      <c r="H49" s="417"/>
      <c r="I49" s="417"/>
      <c r="J49" s="417"/>
      <c r="K49" s="417"/>
      <c r="L49" s="417"/>
      <c r="M49" s="417"/>
      <c r="N49" s="417"/>
      <c r="O49" s="417"/>
      <c r="P49" s="417"/>
      <c r="Q49" s="417"/>
      <c r="R49" s="417"/>
      <c r="S49" s="103"/>
      <c r="V49" s="90"/>
      <c r="Y49" s="90"/>
      <c r="AB49" s="90"/>
      <c r="AE49" s="90"/>
      <c r="AI49" s="90"/>
      <c r="AJ49" s="103"/>
      <c r="AK49" s="90"/>
      <c r="AL49" s="90"/>
      <c r="AM49" s="90"/>
    </row>
    <row r="50" spans="1:46">
      <c r="B50" s="411" t="s">
        <v>32</v>
      </c>
      <c r="C50" s="90"/>
      <c r="D50" s="125">
        <v>41616.050000000003</v>
      </c>
      <c r="E50" s="125">
        <v>41692.33</v>
      </c>
      <c r="F50" s="125">
        <v>42581.120000000003</v>
      </c>
      <c r="G50" s="125">
        <v>41265.800000000003</v>
      </c>
      <c r="H50" s="125">
        <v>42084.55</v>
      </c>
      <c r="I50" s="125">
        <v>42223.199999999997</v>
      </c>
      <c r="J50" s="125">
        <v>44491.25</v>
      </c>
      <c r="K50" s="125">
        <v>42551.98</v>
      </c>
      <c r="L50" s="125">
        <v>43099.91</v>
      </c>
      <c r="M50" s="125">
        <v>43335.59</v>
      </c>
      <c r="N50" s="125">
        <v>44046.86</v>
      </c>
      <c r="O50" s="125">
        <v>45272.92</v>
      </c>
      <c r="P50" s="125">
        <v>45373.85</v>
      </c>
      <c r="Q50" s="125">
        <v>44914.36</v>
      </c>
      <c r="R50" s="125">
        <v>44974.16</v>
      </c>
      <c r="S50" s="103"/>
      <c r="T50" s="91">
        <f t="shared" ref="T50" si="71">SUM(G50:R50)</f>
        <v>523634.42999999993</v>
      </c>
      <c r="U50" s="91">
        <f t="shared" ref="U50" si="72">T50/Units</f>
        <v>3272.7151874999995</v>
      </c>
      <c r="W50" s="91">
        <f t="shared" ref="W50" si="73">(SUM(J50:R50)/9)*12</f>
        <v>530747.84</v>
      </c>
      <c r="X50" s="91">
        <f t="shared" ref="X50" si="74">W50/Units</f>
        <v>3317.174</v>
      </c>
      <c r="Z50" s="91">
        <f t="shared" ref="Z50" si="75">(SUM(M50:R50)/6)*12</f>
        <v>535835.48</v>
      </c>
      <c r="AA50" s="91">
        <f t="shared" ref="AA50" si="76">Z50/Units</f>
        <v>3348.9717499999997</v>
      </c>
      <c r="AC50" s="91">
        <f t="shared" ref="AC50" si="77">(SUM(P50:R50)/3)*12</f>
        <v>541049.48</v>
      </c>
      <c r="AD50" s="91">
        <f t="shared" ref="AD50" si="78">AC50/Units</f>
        <v>3381.5592499999998</v>
      </c>
      <c r="AF50" s="91">
        <f t="shared" ref="AF50" si="79">R50*12</f>
        <v>539689.92000000004</v>
      </c>
      <c r="AG50" s="91">
        <f t="shared" ref="AG50" si="80">AF50/Units</f>
        <v>3373.0620000000004</v>
      </c>
      <c r="AI50" s="94">
        <v>0.05</v>
      </c>
      <c r="AJ50" s="103"/>
      <c r="AK50" s="90"/>
      <c r="AL50" s="104">
        <f>AL28*AI50</f>
        <v>485894.16032000008</v>
      </c>
      <c r="AM50" s="90"/>
      <c r="AN50" s="85">
        <f>'Trailing-12 &amp; Pro Forma'!AA50</f>
        <v>3348.9717499999997</v>
      </c>
      <c r="AO50" s="86"/>
      <c r="AP50" s="85">
        <f>'Trailing-12 &amp; Pro Forma'!AD50</f>
        <v>3381.5592499999998</v>
      </c>
      <c r="AQ50" s="91"/>
      <c r="AR50" s="85">
        <f>'Trailing-12 &amp; Pro Forma'!AG50</f>
        <v>3373.0620000000004</v>
      </c>
      <c r="AS50" s="91"/>
    </row>
    <row r="51" spans="1:46">
      <c r="B51" s="411" t="s">
        <v>30</v>
      </c>
      <c r="C51" s="90"/>
      <c r="D51" s="125">
        <v>22662.65</v>
      </c>
      <c r="E51" s="125">
        <v>22574.240000000002</v>
      </c>
      <c r="F51" s="125">
        <v>22706.85</v>
      </c>
      <c r="G51" s="125">
        <v>22574.240000000002</v>
      </c>
      <c r="H51" s="125">
        <v>22574.240000000002</v>
      </c>
      <c r="I51" s="125">
        <v>22574.240000000002</v>
      </c>
      <c r="J51" s="125">
        <v>22574.240000000002</v>
      </c>
      <c r="K51" s="125">
        <v>22574.240000000002</v>
      </c>
      <c r="L51" s="125">
        <v>33436.68</v>
      </c>
      <c r="M51" s="125">
        <v>23771.360000000001</v>
      </c>
      <c r="N51" s="125">
        <v>31993.68</v>
      </c>
      <c r="O51" s="125">
        <v>16378.33</v>
      </c>
      <c r="P51" s="125">
        <v>24090.74</v>
      </c>
      <c r="Q51" s="125">
        <v>24090.74</v>
      </c>
      <c r="R51" s="125">
        <v>24090.74</v>
      </c>
      <c r="S51" s="103"/>
      <c r="T51" s="91">
        <f t="shared" si="37"/>
        <v>290723.46999999997</v>
      </c>
      <c r="U51" s="91">
        <f t="shared" si="38"/>
        <v>1817.0216874999999</v>
      </c>
      <c r="W51" s="91">
        <f t="shared" si="39"/>
        <v>297334.33333333331</v>
      </c>
      <c r="X51" s="91">
        <f t="shared" si="40"/>
        <v>1858.3395833333332</v>
      </c>
      <c r="Z51" s="91">
        <f t="shared" si="41"/>
        <v>288831.18</v>
      </c>
      <c r="AA51" s="91">
        <f t="shared" si="42"/>
        <v>1805.1948749999999</v>
      </c>
      <c r="AC51" s="91">
        <f t="shared" si="43"/>
        <v>289088.88</v>
      </c>
      <c r="AD51" s="91">
        <f t="shared" si="44"/>
        <v>1806.8054999999999</v>
      </c>
      <c r="AF51" s="91">
        <f t="shared" si="45"/>
        <v>289088.88</v>
      </c>
      <c r="AG51" s="91">
        <f t="shared" si="46"/>
        <v>1806.8054999999999</v>
      </c>
      <c r="AI51" s="90"/>
      <c r="AJ51" s="100">
        <v>1994.8588161764706</v>
      </c>
      <c r="AK51" s="86"/>
      <c r="AL51" s="90">
        <f>AJ51*Units</f>
        <v>319177.4105882353</v>
      </c>
      <c r="AM51" s="86"/>
      <c r="AN51" s="85">
        <f>'Trailing-12 &amp; Pro Forma'!AA51</f>
        <v>1805.1948749999999</v>
      </c>
      <c r="AO51" s="86"/>
      <c r="AP51" s="85">
        <f>'Trailing-12 &amp; Pro Forma'!AD51</f>
        <v>1806.8054999999999</v>
      </c>
      <c r="AR51" s="85">
        <f>'Trailing-12 &amp; Pro Forma'!AG51</f>
        <v>1806.8054999999999</v>
      </c>
      <c r="AT51" s="85">
        <f>AVERAGE(AR51,AP51,AN51)</f>
        <v>1806.2686249999999</v>
      </c>
    </row>
    <row r="52" spans="1:46">
      <c r="B52" s="411" t="s">
        <v>31</v>
      </c>
      <c r="C52" s="90"/>
      <c r="D52" s="125">
        <v>12594.38</v>
      </c>
      <c r="E52" s="125">
        <v>12958.92</v>
      </c>
      <c r="F52" s="125">
        <v>12136.27</v>
      </c>
      <c r="G52" s="125">
        <v>12500.11</v>
      </c>
      <c r="H52" s="125">
        <v>12517.96</v>
      </c>
      <c r="I52" s="125">
        <v>8812.32</v>
      </c>
      <c r="J52" s="125">
        <v>12396.07</v>
      </c>
      <c r="K52" s="125">
        <v>12386.77</v>
      </c>
      <c r="L52" s="125">
        <v>14481.52</v>
      </c>
      <c r="M52" s="125">
        <v>12386.77</v>
      </c>
      <c r="N52" s="125">
        <v>12429.82</v>
      </c>
      <c r="O52" s="125">
        <v>12174.94</v>
      </c>
      <c r="P52" s="125">
        <v>11026.64</v>
      </c>
      <c r="Q52" s="125">
        <v>11206.38</v>
      </c>
      <c r="R52" s="125">
        <v>10993.68</v>
      </c>
      <c r="S52" s="103"/>
      <c r="T52" s="91">
        <f t="shared" si="37"/>
        <v>143312.97999999998</v>
      </c>
      <c r="U52" s="91">
        <f t="shared" si="38"/>
        <v>895.70612499999993</v>
      </c>
      <c r="W52" s="91">
        <f t="shared" si="39"/>
        <v>145976.78666666665</v>
      </c>
      <c r="X52" s="91">
        <f t="shared" si="40"/>
        <v>912.35491666666655</v>
      </c>
      <c r="Z52" s="91">
        <f t="shared" si="41"/>
        <v>140436.46</v>
      </c>
      <c r="AA52" s="91">
        <f t="shared" si="42"/>
        <v>877.72787499999993</v>
      </c>
      <c r="AC52" s="91">
        <f t="shared" si="43"/>
        <v>132906.79999999999</v>
      </c>
      <c r="AD52" s="91">
        <f t="shared" si="44"/>
        <v>830.6674999999999</v>
      </c>
      <c r="AF52" s="91">
        <f t="shared" si="45"/>
        <v>131924.16</v>
      </c>
      <c r="AG52" s="91">
        <f t="shared" si="46"/>
        <v>824.52600000000007</v>
      </c>
      <c r="AI52" s="90"/>
      <c r="AJ52" s="100">
        <v>900</v>
      </c>
      <c r="AK52" s="86"/>
      <c r="AL52" s="90">
        <f>AJ52*Units</f>
        <v>144000</v>
      </c>
      <c r="AM52" s="86"/>
      <c r="AN52" s="85">
        <f>'Trailing-12 &amp; Pro Forma'!AA52</f>
        <v>877.72787499999993</v>
      </c>
      <c r="AO52" s="86"/>
      <c r="AP52" s="85">
        <f>'Trailing-12 &amp; Pro Forma'!AD52</f>
        <v>830.6674999999999</v>
      </c>
      <c r="AR52" s="85">
        <f>'Trailing-12 &amp; Pro Forma'!AG52</f>
        <v>824.52600000000007</v>
      </c>
      <c r="AT52" s="85">
        <f>AVERAGE(AR52,AP52,AN52)</f>
        <v>844.30712499999993</v>
      </c>
    </row>
    <row r="53" spans="1:46" s="91" customFormat="1" ht="5.0999999999999996" customHeight="1">
      <c r="B53" s="411"/>
      <c r="C53" s="90"/>
      <c r="D53" s="417"/>
      <c r="E53" s="417"/>
      <c r="F53" s="417"/>
      <c r="G53" s="417"/>
      <c r="H53" s="417"/>
      <c r="I53" s="417"/>
      <c r="J53" s="417"/>
      <c r="K53" s="417"/>
      <c r="L53" s="417"/>
      <c r="M53" s="417"/>
      <c r="N53" s="417"/>
      <c r="O53" s="417"/>
      <c r="P53" s="417"/>
      <c r="Q53" s="417"/>
      <c r="R53" s="417"/>
      <c r="S53" s="103"/>
      <c r="V53" s="90"/>
      <c r="Y53" s="90"/>
      <c r="AB53" s="90"/>
      <c r="AE53" s="90"/>
      <c r="AI53" s="90"/>
      <c r="AJ53" s="103"/>
      <c r="AK53" s="90"/>
      <c r="AL53" s="90"/>
      <c r="AM53" s="90"/>
      <c r="AO53" s="90"/>
    </row>
    <row r="54" spans="1:46" s="91" customFormat="1">
      <c r="B54" s="416" t="s">
        <v>171</v>
      </c>
      <c r="C54" s="90"/>
      <c r="D54" s="442">
        <f>SUM(D50:D52)</f>
        <v>76873.08</v>
      </c>
      <c r="E54" s="442">
        <f t="shared" ref="E54:T54" si="81">SUM(E50:E52)</f>
        <v>77225.490000000005</v>
      </c>
      <c r="F54" s="442">
        <f t="shared" si="81"/>
        <v>77424.240000000005</v>
      </c>
      <c r="G54" s="442">
        <f t="shared" si="81"/>
        <v>76340.150000000009</v>
      </c>
      <c r="H54" s="442">
        <f t="shared" si="81"/>
        <v>77176.75</v>
      </c>
      <c r="I54" s="442">
        <f t="shared" si="81"/>
        <v>73609.760000000009</v>
      </c>
      <c r="J54" s="442">
        <f t="shared" si="81"/>
        <v>79461.56</v>
      </c>
      <c r="K54" s="442">
        <f t="shared" si="81"/>
        <v>77512.990000000005</v>
      </c>
      <c r="L54" s="442">
        <f t="shared" si="81"/>
        <v>91018.11</v>
      </c>
      <c r="M54" s="442">
        <f t="shared" si="81"/>
        <v>79493.72</v>
      </c>
      <c r="N54" s="442">
        <f t="shared" si="81"/>
        <v>88470.360000000015</v>
      </c>
      <c r="O54" s="442">
        <f t="shared" si="81"/>
        <v>73826.19</v>
      </c>
      <c r="P54" s="442">
        <f t="shared" si="81"/>
        <v>80491.23</v>
      </c>
      <c r="Q54" s="442">
        <f t="shared" si="81"/>
        <v>80211.48000000001</v>
      </c>
      <c r="R54" s="442">
        <f t="shared" si="81"/>
        <v>80058.580000000016</v>
      </c>
      <c r="S54" s="103"/>
      <c r="T54" s="442">
        <f t="shared" si="81"/>
        <v>957670.87999999989</v>
      </c>
      <c r="U54" s="442">
        <f t="shared" si="38"/>
        <v>5985.4429999999993</v>
      </c>
      <c r="V54" s="90"/>
      <c r="W54" s="442">
        <f t="shared" ref="W54" si="82">SUM(W50:W52)</f>
        <v>974058.96</v>
      </c>
      <c r="X54" s="442">
        <f t="shared" si="40"/>
        <v>6087.8684999999996</v>
      </c>
      <c r="Y54" s="90"/>
      <c r="Z54" s="442">
        <f t="shared" ref="Z54" si="83">SUM(Z50:Z52)</f>
        <v>965103.11999999988</v>
      </c>
      <c r="AA54" s="442">
        <f t="shared" si="42"/>
        <v>6031.8944999999994</v>
      </c>
      <c r="AB54" s="90"/>
      <c r="AC54" s="442">
        <f t="shared" ref="AC54" si="84">SUM(AC50:AC52)</f>
        <v>963045.15999999992</v>
      </c>
      <c r="AD54" s="442">
        <f t="shared" si="44"/>
        <v>6019.0322499999993</v>
      </c>
      <c r="AE54" s="90"/>
      <c r="AF54" s="442">
        <f t="shared" ref="AF54" si="85">SUM(AF50:AF52)</f>
        <v>960702.96000000008</v>
      </c>
      <c r="AG54" s="442">
        <f t="shared" si="46"/>
        <v>6004.3935000000001</v>
      </c>
      <c r="AI54" s="101"/>
      <c r="AJ54" s="102"/>
      <c r="AK54" s="97"/>
      <c r="AL54" s="98">
        <f>SUM(AL50:AL52)</f>
        <v>949071.57090823539</v>
      </c>
      <c r="AM54" s="86"/>
      <c r="AN54" s="86"/>
      <c r="AO54" s="86"/>
      <c r="AP54" s="85"/>
      <c r="AQ54" s="85"/>
      <c r="AR54" s="85"/>
      <c r="AS54" s="85"/>
      <c r="AT54" s="85"/>
    </row>
    <row r="55" spans="1:46" s="91" customFormat="1">
      <c r="B55" s="453" t="s">
        <v>223</v>
      </c>
      <c r="C55" s="106"/>
      <c r="D55" s="450">
        <f>D54/D$28</f>
        <v>0.10303654644448623</v>
      </c>
      <c r="E55" s="450">
        <f t="shared" ref="E55" si="86">E54/E$28</f>
        <v>0.1035893283373614</v>
      </c>
      <c r="F55" s="450">
        <f t="shared" ref="F55" si="87">F54/F$28</f>
        <v>0.10175115021325766</v>
      </c>
      <c r="G55" s="450">
        <f t="shared" ref="G55" si="88">G54/G$28</f>
        <v>0.10301445281566798</v>
      </c>
      <c r="H55" s="450">
        <f t="shared" ref="H55" si="89">H54/H$28</f>
        <v>0.1025511639641986</v>
      </c>
      <c r="I55" s="450">
        <f t="shared" ref="I55" si="90">I54/I$28</f>
        <v>9.8032443424201712E-2</v>
      </c>
      <c r="J55" s="450">
        <f t="shared" ref="J55" si="91">J54/J$28</f>
        <v>0.10073173079386517</v>
      </c>
      <c r="K55" s="450">
        <f t="shared" ref="K55" si="92">K54/K$28</f>
        <v>0.10313312494619684</v>
      </c>
      <c r="L55" s="450">
        <f t="shared" ref="L55" si="93">L54/L$28</f>
        <v>0.12012002115961673</v>
      </c>
      <c r="M55" s="450">
        <f t="shared" ref="M55" si="94">M54/M$28</f>
        <v>0.1035517945119987</v>
      </c>
      <c r="N55" s="450">
        <f t="shared" ref="N55" si="95">N54/N$28</f>
        <v>0.11398165841981098</v>
      </c>
      <c r="O55" s="450">
        <f t="shared" ref="O55" si="96">O54/O$28</f>
        <v>9.3155582014581129E-2</v>
      </c>
      <c r="P55" s="450">
        <f t="shared" ref="P55" si="97">P54/P$28</f>
        <v>0.10054990676946243</v>
      </c>
      <c r="Q55" s="450">
        <f t="shared" ref="Q55" si="98">Q54/Q$28</f>
        <v>0.10133709178651559</v>
      </c>
      <c r="R55" s="450">
        <f t="shared" ref="R55:T55" si="99">R54/R$28</f>
        <v>0.10177754727905822</v>
      </c>
      <c r="S55" s="103"/>
      <c r="T55" s="450">
        <f t="shared" si="99"/>
        <v>0.10344637894167005</v>
      </c>
      <c r="U55" s="90"/>
      <c r="V55" s="90"/>
      <c r="W55" s="450">
        <f t="shared" ref="W55" si="100">W54/W$28</f>
        <v>0.10416773269934514</v>
      </c>
      <c r="X55" s="90"/>
      <c r="Y55" s="90"/>
      <c r="Z55" s="450">
        <f t="shared" ref="Z55" si="101">Z54/Z$28</f>
        <v>0.10234389215598606</v>
      </c>
      <c r="AA55" s="90"/>
      <c r="AB55" s="90"/>
      <c r="AC55" s="450">
        <f t="shared" ref="AC55" si="102">AC54/AC$28</f>
        <v>0.10121782817124687</v>
      </c>
      <c r="AD55" s="90"/>
      <c r="AE55" s="90"/>
      <c r="AF55" s="450">
        <f t="shared" ref="AF55" si="103">AF54/AF$28</f>
        <v>0.10177754727905819</v>
      </c>
      <c r="AG55" s="90"/>
      <c r="AI55" s="101"/>
      <c r="AJ55" s="102"/>
      <c r="AK55" s="97"/>
      <c r="AL55" s="450">
        <f t="shared" ref="AL55" si="104">AL54/AL$28</f>
        <v>9.7662376749207691E-2</v>
      </c>
      <c r="AM55" s="86"/>
      <c r="AN55" s="86"/>
      <c r="AO55" s="86"/>
      <c r="AP55" s="85"/>
      <c r="AQ55" s="85"/>
      <c r="AR55" s="85"/>
      <c r="AS55" s="85"/>
      <c r="AT55" s="85"/>
    </row>
    <row r="56" spans="1:46" s="91" customFormat="1" ht="5.0999999999999996" customHeight="1">
      <c r="C56" s="90"/>
      <c r="S56" s="90"/>
      <c r="V56" s="90"/>
      <c r="Y56" s="90"/>
      <c r="AB56" s="90"/>
      <c r="AE56" s="90"/>
      <c r="AI56" s="90"/>
      <c r="AJ56" s="90"/>
      <c r="AK56" s="90"/>
      <c r="AL56" s="90"/>
      <c r="AM56" s="90"/>
      <c r="AN56" s="86"/>
      <c r="AO56" s="86"/>
    </row>
    <row r="57" spans="1:46">
      <c r="B57" s="98" t="s">
        <v>33</v>
      </c>
      <c r="C57" s="101"/>
      <c r="D57" s="98">
        <f>SUM(D47,D54)</f>
        <v>396504.80000000005</v>
      </c>
      <c r="E57" s="98">
        <f t="shared" ref="E57:R57" si="105">SUM(E47,E54)</f>
        <v>366034.68</v>
      </c>
      <c r="F57" s="98">
        <f t="shared" si="105"/>
        <v>425736.32999999996</v>
      </c>
      <c r="G57" s="98">
        <f t="shared" si="105"/>
        <v>410871.99</v>
      </c>
      <c r="H57" s="98">
        <f t="shared" si="105"/>
        <v>419397.83999999991</v>
      </c>
      <c r="I57" s="98">
        <f t="shared" si="105"/>
        <v>409363.10000000003</v>
      </c>
      <c r="J57" s="98">
        <f t="shared" si="105"/>
        <v>467610.16</v>
      </c>
      <c r="K57" s="98">
        <f t="shared" si="105"/>
        <v>438658.21</v>
      </c>
      <c r="L57" s="98">
        <f t="shared" si="105"/>
        <v>425345</v>
      </c>
      <c r="M57" s="98">
        <f t="shared" si="105"/>
        <v>436624.57999999996</v>
      </c>
      <c r="N57" s="98">
        <f t="shared" si="105"/>
        <v>426114.80999999994</v>
      </c>
      <c r="O57" s="98">
        <f t="shared" si="105"/>
        <v>451099.27999999991</v>
      </c>
      <c r="P57" s="98">
        <f t="shared" si="105"/>
        <v>431078.48000000004</v>
      </c>
      <c r="Q57" s="98">
        <f t="shared" si="105"/>
        <v>442634.99</v>
      </c>
      <c r="R57" s="98">
        <f t="shared" si="105"/>
        <v>441000.19</v>
      </c>
      <c r="S57" s="101"/>
      <c r="T57" s="98">
        <f>SUM(T47,T54)</f>
        <v>5199798.63</v>
      </c>
      <c r="U57" s="98">
        <f>T57/Units</f>
        <v>32498.741437500001</v>
      </c>
      <c r="V57" s="101"/>
      <c r="W57" s="98">
        <f>SUM(W47,W54)</f>
        <v>5280220.9333333336</v>
      </c>
      <c r="X57" s="98">
        <f>W57/Units</f>
        <v>33001.380833333336</v>
      </c>
      <c r="Y57" s="101"/>
      <c r="Z57" s="98">
        <f>SUM(Z47,Z54)</f>
        <v>5257104.6599999992</v>
      </c>
      <c r="AA57" s="98">
        <f>Z57/Units</f>
        <v>32856.904124999994</v>
      </c>
      <c r="AB57" s="101"/>
      <c r="AC57" s="98">
        <f>SUM(AC47,AC54)</f>
        <v>5258854.6399999997</v>
      </c>
      <c r="AD57" s="98">
        <f>AC57/Units</f>
        <v>32867.841499999995</v>
      </c>
      <c r="AE57" s="101"/>
      <c r="AF57" s="98">
        <f>SUM(AF47,AF54)</f>
        <v>5292002.28</v>
      </c>
      <c r="AG57" s="98">
        <f>AF57/Units</f>
        <v>33075.01425</v>
      </c>
      <c r="AI57" s="101"/>
      <c r="AJ57" s="101"/>
      <c r="AK57" s="86"/>
      <c r="AL57" s="98">
        <f>AL47+AL54</f>
        <v>4785871.5709082354</v>
      </c>
      <c r="AM57" s="86"/>
      <c r="AN57" s="86"/>
      <c r="AO57" s="86"/>
    </row>
    <row r="58" spans="1:46">
      <c r="B58" s="452" t="s">
        <v>223</v>
      </c>
      <c r="C58" s="106"/>
      <c r="D58" s="450">
        <f>D57/D$28</f>
        <v>0.53145373179612065</v>
      </c>
      <c r="E58" s="450">
        <f t="shared" ref="E58" si="106">E57/E$28</f>
        <v>0.49099444560832195</v>
      </c>
      <c r="F58" s="450">
        <f t="shared" ref="F58" si="107">F57/F$28</f>
        <v>0.55950386164683086</v>
      </c>
      <c r="G58" s="450">
        <f t="shared" ref="G58" si="108">G57/G$28</f>
        <v>0.5544363382457933</v>
      </c>
      <c r="H58" s="450">
        <f t="shared" ref="H58" si="109">H57/H$28</f>
        <v>0.55728877746304062</v>
      </c>
      <c r="I58" s="450">
        <f t="shared" ref="I58" si="110">I57/I$28</f>
        <v>0.54518402098724172</v>
      </c>
      <c r="J58" s="450">
        <f t="shared" ref="J58" si="111">J57/J$28</f>
        <v>0.59277946158615835</v>
      </c>
      <c r="K58" s="450">
        <f t="shared" ref="K58" si="112">K57/K$28</f>
        <v>0.58364658595423879</v>
      </c>
      <c r="L58" s="450">
        <f t="shared" ref="L58" si="113">L57/L$28</f>
        <v>0.56134378532071449</v>
      </c>
      <c r="M58" s="450">
        <f t="shared" ref="M58" si="114">M57/M$28</f>
        <v>0.56876516518597608</v>
      </c>
      <c r="N58" s="450">
        <f t="shared" ref="N58" si="115">N57/N$28</f>
        <v>0.54898920634032278</v>
      </c>
      <c r="O58" s="450">
        <f t="shared" ref="O58" si="116">O57/O$28</f>
        <v>0.56920743132970142</v>
      </c>
      <c r="P58" s="450">
        <f t="shared" ref="P58" si="117">P57/P$28</f>
        <v>0.53850464173949864</v>
      </c>
      <c r="Q58" s="450">
        <f t="shared" ref="Q58" si="118">Q57/Q$28</f>
        <v>0.55921350172760065</v>
      </c>
      <c r="R58" s="450">
        <f t="shared" ref="R58:T58" si="119">R57/R$28</f>
        <v>0.56063844359715909</v>
      </c>
      <c r="S58" s="101"/>
      <c r="T58" s="450">
        <f t="shared" si="119"/>
        <v>0.56167557219590603</v>
      </c>
      <c r="U58" s="101"/>
      <c r="V58" s="101"/>
      <c r="W58" s="450">
        <f t="shared" ref="W58" si="120">W57/W$28</f>
        <v>0.56467695012728325</v>
      </c>
      <c r="X58" s="101"/>
      <c r="Y58" s="101"/>
      <c r="Z58" s="450">
        <f t="shared" ref="Z58" si="121">Z57/Z$28</f>
        <v>0.55748711326906886</v>
      </c>
      <c r="AA58" s="101"/>
      <c r="AB58" s="101"/>
      <c r="AC58" s="450">
        <f t="shared" ref="AC58" si="122">AC57/AC$28</f>
        <v>0.55271535275571537</v>
      </c>
      <c r="AD58" s="101"/>
      <c r="AE58" s="101"/>
      <c r="AF58" s="450">
        <f t="shared" ref="AF58" si="123">AF57/AF$28</f>
        <v>0.56063844359715898</v>
      </c>
      <c r="AG58" s="101"/>
      <c r="AI58" s="101"/>
      <c r="AJ58" s="101"/>
      <c r="AK58" s="86"/>
      <c r="AL58" s="450">
        <f t="shared" ref="AL58" si="124">AL57/AL$28</f>
        <v>0.49248086947128128</v>
      </c>
      <c r="AM58" s="86"/>
      <c r="AN58" s="86"/>
      <c r="AO58" s="86"/>
    </row>
    <row r="59" spans="1:46" ht="5.0999999999999996" customHeight="1">
      <c r="B59" s="92"/>
      <c r="C59" s="101"/>
      <c r="D59" s="92"/>
      <c r="E59" s="92"/>
      <c r="F59" s="92"/>
      <c r="G59" s="92"/>
      <c r="H59" s="92"/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101"/>
      <c r="T59" s="127"/>
      <c r="U59" s="127"/>
      <c r="W59" s="127"/>
      <c r="X59" s="127"/>
      <c r="Z59" s="127"/>
      <c r="AA59" s="127"/>
      <c r="AC59" s="127"/>
      <c r="AD59" s="127"/>
      <c r="AF59" s="127"/>
      <c r="AG59" s="127"/>
      <c r="AI59" s="90"/>
      <c r="AJ59" s="90"/>
      <c r="AK59" s="86"/>
      <c r="AL59" s="86"/>
      <c r="AM59" s="86"/>
      <c r="AN59" s="86"/>
      <c r="AO59" s="86"/>
    </row>
    <row r="60" spans="1:46" ht="15.75" thickBot="1">
      <c r="A60" s="86"/>
      <c r="B60" s="105" t="s">
        <v>34</v>
      </c>
      <c r="C60" s="106"/>
      <c r="D60" s="105">
        <f t="shared" ref="D60:R60" si="125">SUM(D28-D57)</f>
        <v>349571.05999999994</v>
      </c>
      <c r="E60" s="105">
        <f t="shared" si="125"/>
        <v>379461.89999999997</v>
      </c>
      <c r="F60" s="105">
        <f t="shared" si="125"/>
        <v>335181.26</v>
      </c>
      <c r="G60" s="105">
        <f t="shared" si="125"/>
        <v>330190.53000000003</v>
      </c>
      <c r="H60" s="105">
        <f t="shared" si="125"/>
        <v>333170.41000000009</v>
      </c>
      <c r="I60" s="105">
        <f t="shared" si="125"/>
        <v>341508.32</v>
      </c>
      <c r="J60" s="105">
        <f t="shared" si="125"/>
        <v>321233.23000000004</v>
      </c>
      <c r="K60" s="105">
        <f t="shared" si="125"/>
        <v>312923.68999999989</v>
      </c>
      <c r="L60" s="105">
        <f t="shared" si="125"/>
        <v>332381.39</v>
      </c>
      <c r="M60" s="105">
        <f t="shared" si="125"/>
        <v>331046.52</v>
      </c>
      <c r="N60" s="105">
        <f t="shared" si="125"/>
        <v>350065.86</v>
      </c>
      <c r="O60" s="105">
        <f t="shared" si="125"/>
        <v>341404.92000000004</v>
      </c>
      <c r="P60" s="105">
        <f t="shared" si="125"/>
        <v>369431.75999999995</v>
      </c>
      <c r="Q60" s="105">
        <f t="shared" si="125"/>
        <v>348896.31000000006</v>
      </c>
      <c r="R60" s="105">
        <f t="shared" si="125"/>
        <v>345603.35999999981</v>
      </c>
      <c r="S60" s="106"/>
      <c r="T60" s="105">
        <f>SUM(T28-T57)</f>
        <v>4057856.3</v>
      </c>
      <c r="U60" s="105">
        <f>T60/Units</f>
        <v>25361.601875</v>
      </c>
      <c r="V60" s="106"/>
      <c r="W60" s="105">
        <f>SUM(W28-W57)</f>
        <v>4070649.3866666667</v>
      </c>
      <c r="X60" s="105">
        <f>W60/Units</f>
        <v>25441.558666666668</v>
      </c>
      <c r="Y60" s="106"/>
      <c r="Z60" s="105">
        <f>SUM(Z28-Z57)</f>
        <v>4172897.46</v>
      </c>
      <c r="AA60" s="105">
        <f>Z60/Units</f>
        <v>26080.609124999999</v>
      </c>
      <c r="AB60" s="106"/>
      <c r="AC60" s="105">
        <f>SUM(AC28-AC57)</f>
        <v>4255725.7199999979</v>
      </c>
      <c r="AD60" s="105">
        <f>AC60/Units</f>
        <v>26598.285749999988</v>
      </c>
      <c r="AE60" s="106"/>
      <c r="AF60" s="105">
        <f>SUM(AF28-AF57)</f>
        <v>4147240.3199999994</v>
      </c>
      <c r="AG60" s="105">
        <f>AF60/Units</f>
        <v>25920.251999999997</v>
      </c>
      <c r="AI60" s="106"/>
      <c r="AJ60" s="106"/>
      <c r="AK60" s="86"/>
      <c r="AL60" s="105">
        <f>AL28-AL57</f>
        <v>4932011.635491766</v>
      </c>
      <c r="AM60" s="86"/>
      <c r="AN60" s="86"/>
      <c r="AO60" s="86"/>
    </row>
    <row r="61" spans="1:46">
      <c r="B61" s="451" t="s">
        <v>223</v>
      </c>
      <c r="C61" s="106"/>
      <c r="D61" s="450">
        <f>D60/D$28</f>
        <v>0.46854626820387935</v>
      </c>
      <c r="E61" s="450">
        <f t="shared" ref="E61:T61" si="126">E60/E$28</f>
        <v>0.50900555439167805</v>
      </c>
      <c r="F61" s="450">
        <f t="shared" si="126"/>
        <v>0.44049613835316914</v>
      </c>
      <c r="G61" s="450">
        <f t="shared" si="126"/>
        <v>0.4455636617542067</v>
      </c>
      <c r="H61" s="450">
        <f t="shared" si="126"/>
        <v>0.44271122253695938</v>
      </c>
      <c r="I61" s="450">
        <f t="shared" si="126"/>
        <v>0.45481597901275828</v>
      </c>
      <c r="J61" s="450">
        <f t="shared" si="126"/>
        <v>0.40722053841384159</v>
      </c>
      <c r="K61" s="450">
        <f t="shared" si="126"/>
        <v>0.41635341404576126</v>
      </c>
      <c r="L61" s="450">
        <f t="shared" si="126"/>
        <v>0.43865621467928551</v>
      </c>
      <c r="M61" s="450">
        <f t="shared" si="126"/>
        <v>0.43123483481402392</v>
      </c>
      <c r="N61" s="450">
        <f t="shared" si="126"/>
        <v>0.45101079365967722</v>
      </c>
      <c r="O61" s="450">
        <f t="shared" si="126"/>
        <v>0.43079256867029858</v>
      </c>
      <c r="P61" s="450">
        <f t="shared" si="126"/>
        <v>0.46149535826050142</v>
      </c>
      <c r="Q61" s="450">
        <f t="shared" si="126"/>
        <v>0.44078649827239941</v>
      </c>
      <c r="R61" s="450">
        <f t="shared" si="126"/>
        <v>0.43936155640284091</v>
      </c>
      <c r="S61" s="106"/>
      <c r="T61" s="450">
        <f t="shared" si="126"/>
        <v>0.43832442780409403</v>
      </c>
      <c r="U61" s="106"/>
      <c r="V61" s="106"/>
      <c r="W61" s="450">
        <f t="shared" ref="W61" si="127">W60/W$28</f>
        <v>0.43532304987271675</v>
      </c>
      <c r="X61" s="106"/>
      <c r="Y61" s="106"/>
      <c r="Z61" s="450">
        <f t="shared" ref="Z61" si="128">Z60/Z$28</f>
        <v>0.44251288673093114</v>
      </c>
      <c r="AA61" s="106"/>
      <c r="AB61" s="106"/>
      <c r="AC61" s="450">
        <f t="shared" ref="AC61" si="129">AC60/AC$28</f>
        <v>0.44728464724428468</v>
      </c>
      <c r="AD61" s="106"/>
      <c r="AE61" s="106"/>
      <c r="AF61" s="450">
        <f t="shared" ref="AF61" si="130">AF60/AF$28</f>
        <v>0.43936155640284102</v>
      </c>
      <c r="AG61" s="106"/>
      <c r="AI61" s="106"/>
      <c r="AJ61" s="106"/>
      <c r="AK61" s="86"/>
      <c r="AL61" s="450">
        <f t="shared" ref="AL61" si="131">AL60/AL$28</f>
        <v>0.50751913052871878</v>
      </c>
      <c r="AM61" s="86"/>
      <c r="AN61" s="86"/>
      <c r="AO61" s="86"/>
    </row>
    <row r="62" spans="1:46" ht="5.0999999999999996" customHeight="1">
      <c r="S62" s="90"/>
      <c r="AI62" s="90"/>
      <c r="AJ62" s="90"/>
      <c r="AK62" s="86"/>
      <c r="AL62" s="86"/>
      <c r="AM62" s="86"/>
      <c r="AN62" s="86"/>
      <c r="AO62" s="86"/>
    </row>
    <row r="63" spans="1:46">
      <c r="B63" s="106" t="s">
        <v>37</v>
      </c>
      <c r="S63" s="90"/>
      <c r="AI63" s="90"/>
      <c r="AJ63" s="90"/>
      <c r="AK63" s="86"/>
      <c r="AL63" s="86"/>
      <c r="AM63" s="86"/>
      <c r="AN63" s="86"/>
      <c r="AO63" s="86"/>
    </row>
    <row r="64" spans="1:46">
      <c r="B64" s="107" t="s">
        <v>221</v>
      </c>
      <c r="C64" s="86"/>
      <c r="S64" s="90"/>
      <c r="T64" s="444">
        <v>40050</v>
      </c>
      <c r="U64" s="109">
        <f>T64/Units</f>
        <v>250.3125</v>
      </c>
      <c r="V64" s="108"/>
      <c r="W64" s="444">
        <v>40050</v>
      </c>
      <c r="X64" s="109">
        <f>W64/Units</f>
        <v>250.3125</v>
      </c>
      <c r="Y64" s="108"/>
      <c r="Z64" s="444">
        <v>40050</v>
      </c>
      <c r="AA64" s="109">
        <f>Z64/Units</f>
        <v>250.3125</v>
      </c>
      <c r="AB64" s="108"/>
      <c r="AC64" s="444">
        <v>40050</v>
      </c>
      <c r="AD64" s="109">
        <f>AC64/Units</f>
        <v>250.3125</v>
      </c>
      <c r="AE64" s="108"/>
      <c r="AF64" s="444">
        <v>40050</v>
      </c>
      <c r="AG64" s="109">
        <f>AF64/Units</f>
        <v>250.3125</v>
      </c>
      <c r="AI64" s="108"/>
      <c r="AJ64" s="100">
        <v>250</v>
      </c>
      <c r="AK64" s="86"/>
      <c r="AL64" s="109">
        <f>AJ64*Units</f>
        <v>40000</v>
      </c>
      <c r="AM64" s="86"/>
      <c r="AN64" s="86"/>
      <c r="AO64" s="86"/>
    </row>
    <row r="65" spans="2:41" ht="15.75" thickBot="1">
      <c r="B65" s="105" t="s">
        <v>38</v>
      </c>
      <c r="C65" s="86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10"/>
      <c r="O65" s="110"/>
      <c r="P65" s="110"/>
      <c r="Q65" s="110"/>
      <c r="R65" s="110"/>
      <c r="S65" s="90"/>
      <c r="T65" s="111">
        <f>T60-T64</f>
        <v>4017806.3</v>
      </c>
      <c r="U65" s="111">
        <f>T65/Units</f>
        <v>25111.289375</v>
      </c>
      <c r="V65" s="101"/>
      <c r="W65" s="111">
        <f>W60-W64</f>
        <v>4030599.3866666667</v>
      </c>
      <c r="X65" s="111">
        <f>W65/Units</f>
        <v>25191.246166666668</v>
      </c>
      <c r="Y65" s="101"/>
      <c r="Z65" s="111">
        <f>Z60-Z64</f>
        <v>4132847.46</v>
      </c>
      <c r="AA65" s="111">
        <f>Z65/Units</f>
        <v>25830.296624999999</v>
      </c>
      <c r="AB65" s="101"/>
      <c r="AC65" s="111">
        <f>AC60-AC64</f>
        <v>4215675.7199999979</v>
      </c>
      <c r="AD65" s="111">
        <f>AC65/Units</f>
        <v>26347.973249999988</v>
      </c>
      <c r="AE65" s="101"/>
      <c r="AF65" s="111">
        <f>AF60-AF64</f>
        <v>4107190.3199999994</v>
      </c>
      <c r="AG65" s="111">
        <f>AF65/Units</f>
        <v>25669.939499999997</v>
      </c>
      <c r="AI65" s="101"/>
      <c r="AJ65" s="101"/>
      <c r="AK65" s="86"/>
      <c r="AL65" s="111">
        <f>AL60-AL64</f>
        <v>4892011.635491766</v>
      </c>
      <c r="AM65" s="86"/>
      <c r="AN65" s="86"/>
      <c r="AO65" s="86"/>
    </row>
    <row r="66" spans="2:41">
      <c r="C66" s="86"/>
      <c r="S66" s="90"/>
    </row>
  </sheetData>
  <pageMargins left="0.44" right="0.33" top="1" bottom="1" header="0.5" footer="0.5"/>
  <pageSetup paperSize="5" scale="54" fitToWidth="2" orientation="landscape" verticalDpi="400" r:id="rId1"/>
  <headerFooter alignWithMargins="0">
    <oddHeader>&amp;A</oddHeader>
    <oddFooter>&amp;L&amp;B Confidential&amp;B&amp;C&amp;D&amp;RPage &amp;P</oddFooter>
  </headerFooter>
  <ignoredErrors>
    <ignoredError sqref="AC14:AC16 T14:T16 W14:W16 Z14:Z16 Z9:Z10 W9:W10 T9:T10 AC9:AC10 AC21:AC24 T21:T24 W21:W24 Z21:Z24 AC31 Z31 W31 T31 AF31 T32:AC45 V47 Y47 AB47" formulaRange="1"/>
    <ignoredError sqref="D48:AL48 D53:AL55 D51:S52 AG51:AL52 U51:V52 X51:Y52 AA51:AB52 AD51:AE52 D57:AL61 D56:S56 AG56:AL56 U56:V56 X56:Y56 AA56:AB56 AD56:AE56 D49:S50 AD49:AL50" unlockedFormula="1"/>
    <ignoredError sqref="T49:AC50 AC56 Z56 W56 T56 AF56 AC51:AC52 Z51:Z52 W51:W52 T51:T52 AF51:AF52" formulaRange="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S12"/>
  <sheetViews>
    <sheetView showGridLines="0" zoomScale="85" zoomScaleNormal="85" workbookViewId="0"/>
  </sheetViews>
  <sheetFormatPr defaultRowHeight="15"/>
  <cols>
    <col min="1" max="1" width="1.7109375" style="129" customWidth="1"/>
    <col min="2" max="2" width="9.28515625" style="129" customWidth="1"/>
    <col min="3" max="3" width="16.28515625" style="129" customWidth="1"/>
    <col min="4" max="7" width="9.140625" style="129"/>
    <col min="8" max="8" width="1.7109375" style="130" customWidth="1"/>
    <col min="9" max="10" width="9.7109375" style="129" customWidth="1"/>
    <col min="11" max="11" width="1.7109375" style="131" customWidth="1"/>
    <col min="12" max="13" width="9.7109375" style="129" customWidth="1"/>
    <col min="14" max="14" width="1.7109375" style="130" customWidth="1"/>
    <col min="15" max="16" width="9.7109375" style="130" customWidth="1"/>
    <col min="17" max="17" width="1.7109375" style="130" customWidth="1"/>
    <col min="18" max="19" width="13.28515625" style="129" customWidth="1"/>
    <col min="20" max="16384" width="9.140625" style="129"/>
  </cols>
  <sheetData>
    <row r="1" spans="2:19" ht="5.0999999999999996" customHeight="1"/>
    <row r="2" spans="2:19" ht="18.75">
      <c r="B2" s="87" t="s">
        <v>174</v>
      </c>
      <c r="C2" s="88"/>
      <c r="D2" s="89"/>
      <c r="E2" s="89"/>
      <c r="F2" s="89"/>
      <c r="G2" s="89"/>
      <c r="H2" s="88"/>
      <c r="I2" s="87"/>
      <c r="J2" s="88"/>
      <c r="K2" s="89"/>
      <c r="L2" s="89"/>
      <c r="M2" s="89"/>
      <c r="N2" s="89"/>
      <c r="O2" s="89"/>
      <c r="P2" s="89"/>
      <c r="Q2" s="89"/>
      <c r="R2" s="88"/>
      <c r="S2" s="87"/>
    </row>
    <row r="3" spans="2:19">
      <c r="B3" s="129" t="str">
        <f>Description!C4</f>
        <v>Building I Want</v>
      </c>
    </row>
    <row r="4" spans="2:19" ht="5.0999999999999996" customHeight="1"/>
    <row r="5" spans="2:19">
      <c r="B5" s="133"/>
      <c r="C5" s="133"/>
      <c r="D5" s="133"/>
      <c r="E5" s="133"/>
      <c r="F5" s="133"/>
      <c r="G5" s="133"/>
      <c r="H5" s="133"/>
      <c r="I5" s="134" t="s">
        <v>48</v>
      </c>
      <c r="J5" s="134"/>
      <c r="K5" s="135"/>
      <c r="L5" s="136" t="s">
        <v>159</v>
      </c>
      <c r="M5" s="136"/>
      <c r="N5" s="137"/>
      <c r="O5" s="136" t="s">
        <v>160</v>
      </c>
      <c r="P5" s="136"/>
      <c r="Q5" s="137"/>
      <c r="R5" s="136" t="s">
        <v>161</v>
      </c>
      <c r="S5" s="136"/>
    </row>
    <row r="6" spans="2:19">
      <c r="B6" s="138" t="s">
        <v>111</v>
      </c>
      <c r="C6" s="138" t="s">
        <v>163</v>
      </c>
      <c r="D6" s="138" t="s">
        <v>102</v>
      </c>
      <c r="E6" s="138" t="s">
        <v>162</v>
      </c>
      <c r="F6" s="138" t="s">
        <v>167</v>
      </c>
      <c r="G6" s="138" t="s">
        <v>168</v>
      </c>
      <c r="H6" s="133"/>
      <c r="I6" s="139" t="s">
        <v>118</v>
      </c>
      <c r="J6" s="139" t="s">
        <v>108</v>
      </c>
      <c r="K6" s="133"/>
      <c r="L6" s="139" t="s">
        <v>164</v>
      </c>
      <c r="M6" s="139" t="s">
        <v>42</v>
      </c>
      <c r="N6" s="133"/>
      <c r="O6" s="139" t="s">
        <v>164</v>
      </c>
      <c r="P6" s="139" t="s">
        <v>127</v>
      </c>
      <c r="Q6" s="133"/>
      <c r="R6" s="139" t="s">
        <v>177</v>
      </c>
      <c r="S6" s="139" t="s">
        <v>178</v>
      </c>
    </row>
    <row r="7" spans="2:19" s="132" customFormat="1">
      <c r="B7" s="140" t="s">
        <v>131</v>
      </c>
      <c r="C7" s="140" t="s">
        <v>165</v>
      </c>
      <c r="D7" s="141">
        <f>COUNTIF('Rent Roll Analysis'!D:D,B7)</f>
        <v>32</v>
      </c>
      <c r="E7" s="142">
        <f>D7/$D$12</f>
        <v>0.2</v>
      </c>
      <c r="F7" s="143">
        <f>SUMIF('Rent Roll Analysis'!D:D,B7,'Rent Roll Analysis'!E:E)</f>
        <v>43520</v>
      </c>
      <c r="G7" s="144">
        <f t="shared" ref="G7:G12" si="0">F7/D7</f>
        <v>1360</v>
      </c>
      <c r="H7" s="144"/>
      <c r="I7" s="144">
        <f>D7-J7</f>
        <v>32</v>
      </c>
      <c r="J7" s="144">
        <f>COUNTIF('Rent Roll Analysis'!N:N,B7)</f>
        <v>0</v>
      </c>
      <c r="K7" s="144"/>
      <c r="L7" s="390">
        <f t="shared" ref="L7:L12" si="1">R7/D7</f>
        <v>4215</v>
      </c>
      <c r="M7" s="392">
        <f t="shared" ref="M7:M12" si="2">L7/G7</f>
        <v>3.0992647058823528</v>
      </c>
      <c r="N7" s="145"/>
      <c r="O7" s="390">
        <f>SUMIFS('Rent Roll Analysis'!$K$10:$K$197,'Rent Roll Analysis'!$D$10:$D$197,B7,'Rent Roll Analysis'!$F$10:$F$197,"l")/I7</f>
        <v>4093.8187499999999</v>
      </c>
      <c r="P7" s="397">
        <f>O7/L7-1</f>
        <v>-2.8750000000000053E-2</v>
      </c>
      <c r="Q7" s="145"/>
      <c r="R7" s="390">
        <f>SUMIF('Rent Roll Analysis'!D:D,B7,'Rent Roll Analysis'!J:J)</f>
        <v>134880</v>
      </c>
      <c r="S7" s="390">
        <f>R7*12</f>
        <v>1618560</v>
      </c>
    </row>
    <row r="8" spans="2:19" s="132" customFormat="1">
      <c r="B8" s="140" t="s">
        <v>129</v>
      </c>
      <c r="C8" s="140" t="s">
        <v>165</v>
      </c>
      <c r="D8" s="141">
        <f>COUNTIF('Rent Roll Analysis'!D:D,B8)</f>
        <v>32</v>
      </c>
      <c r="E8" s="142">
        <f>D8/$D$12</f>
        <v>0.2</v>
      </c>
      <c r="F8" s="143">
        <f>SUMIF('Rent Roll Analysis'!D:D,B8,'Rent Roll Analysis'!E:E)</f>
        <v>45536</v>
      </c>
      <c r="G8" s="144">
        <f t="shared" si="0"/>
        <v>1423</v>
      </c>
      <c r="H8" s="144"/>
      <c r="I8" s="144">
        <f>D8-J8</f>
        <v>31</v>
      </c>
      <c r="J8" s="144">
        <f>COUNTIF('Rent Roll Analysis'!N:N,B8)</f>
        <v>1</v>
      </c>
      <c r="K8" s="144"/>
      <c r="L8" s="390">
        <f t="shared" si="1"/>
        <v>4305</v>
      </c>
      <c r="M8" s="392">
        <f t="shared" si="2"/>
        <v>3.0252986647926914</v>
      </c>
      <c r="N8" s="145"/>
      <c r="O8" s="390">
        <f>SUMIFS('Rent Roll Analysis'!$K$10:$K$197,'Rent Roll Analysis'!$D$10:$D$197,B8,'Rent Roll Analysis'!$F$10:$F$197,"l")/I8</f>
        <v>4148.0758064516131</v>
      </c>
      <c r="P8" s="397">
        <f>O8/L8-1</f>
        <v>-3.6451612903225739E-2</v>
      </c>
      <c r="Q8" s="145"/>
      <c r="R8" s="390">
        <f>SUMIF('Rent Roll Analysis'!D:D,B8,'Rent Roll Analysis'!J:J)</f>
        <v>137760</v>
      </c>
      <c r="S8" s="390">
        <f t="shared" ref="S8:S10" si="3">R8*12</f>
        <v>1653120</v>
      </c>
    </row>
    <row r="9" spans="2:19" s="132" customFormat="1">
      <c r="B9" s="140" t="s">
        <v>133</v>
      </c>
      <c r="C9" s="140" t="s">
        <v>166</v>
      </c>
      <c r="D9" s="141">
        <f>COUNTIF('Rent Roll Analysis'!D:D,B9)</f>
        <v>32</v>
      </c>
      <c r="E9" s="142">
        <f>D9/$D$12</f>
        <v>0.2</v>
      </c>
      <c r="F9" s="143">
        <f>SUMIF('Rent Roll Analysis'!D:D,B9,'Rent Roll Analysis'!E:E)</f>
        <v>48640</v>
      </c>
      <c r="G9" s="144">
        <f t="shared" si="0"/>
        <v>1520</v>
      </c>
      <c r="H9" s="144"/>
      <c r="I9" s="144">
        <f>D9-J9</f>
        <v>32</v>
      </c>
      <c r="J9" s="144">
        <f>COUNTIF('Rent Roll Analysis'!N:N,B9)</f>
        <v>0</v>
      </c>
      <c r="K9" s="144"/>
      <c r="L9" s="390">
        <f t="shared" si="1"/>
        <v>4577</v>
      </c>
      <c r="M9" s="392">
        <f t="shared" si="2"/>
        <v>3.0111842105263156</v>
      </c>
      <c r="N9" s="145"/>
      <c r="O9" s="390">
        <f>SUMIFS('Rent Roll Analysis'!$K$10:$K$197,'Rent Roll Analysis'!$D$10:$D$197,B9,'Rent Roll Analysis'!$F$10:$F$197,"l")/I9</f>
        <v>4416.8050000000003</v>
      </c>
      <c r="P9" s="397">
        <f>O9/L9-1</f>
        <v>-3.499999999999992E-2</v>
      </c>
      <c r="Q9" s="145"/>
      <c r="R9" s="390">
        <f>SUMIF('Rent Roll Analysis'!D:D,B9,'Rent Roll Analysis'!J:J)</f>
        <v>146464</v>
      </c>
      <c r="S9" s="390">
        <f t="shared" si="3"/>
        <v>1757568</v>
      </c>
    </row>
    <row r="10" spans="2:19" s="132" customFormat="1">
      <c r="B10" s="140" t="s">
        <v>132</v>
      </c>
      <c r="C10" s="140" t="s">
        <v>217</v>
      </c>
      <c r="D10" s="141">
        <f>COUNTIF('Rent Roll Analysis'!D:D,B10)</f>
        <v>32</v>
      </c>
      <c r="E10" s="142">
        <f>D10/$D$12</f>
        <v>0.2</v>
      </c>
      <c r="F10" s="143">
        <f>SUMIF('Rent Roll Analysis'!D:D,B10,'Rent Roll Analysis'!E:E)</f>
        <v>58080</v>
      </c>
      <c r="G10" s="144">
        <f t="shared" si="0"/>
        <v>1815</v>
      </c>
      <c r="H10" s="144"/>
      <c r="I10" s="144">
        <f>D10-J10</f>
        <v>30</v>
      </c>
      <c r="J10" s="144">
        <f>COUNTIF('Rent Roll Analysis'!N:N,B10)</f>
        <v>2</v>
      </c>
      <c r="K10" s="144"/>
      <c r="L10" s="390">
        <f t="shared" si="1"/>
        <v>5053</v>
      </c>
      <c r="M10" s="392">
        <f t="shared" si="2"/>
        <v>2.784022038567493</v>
      </c>
      <c r="N10" s="145"/>
      <c r="O10" s="390">
        <f>SUMIFS('Rent Roll Analysis'!$K$10:$K$197,'Rent Roll Analysis'!$D$10:$D$197,B10,'Rent Roll Analysis'!$F$10:$F$197,"l")/I10</f>
        <v>4864.3546666666671</v>
      </c>
      <c r="P10" s="397">
        <f>O10/L10-1</f>
        <v>-3.7333333333333218E-2</v>
      </c>
      <c r="Q10" s="145"/>
      <c r="R10" s="390">
        <f>SUMIF('Rent Roll Analysis'!D:D,B10,'Rent Roll Analysis'!J:J)</f>
        <v>161696</v>
      </c>
      <c r="S10" s="390">
        <f t="shared" si="3"/>
        <v>1940352</v>
      </c>
    </row>
    <row r="11" spans="2:19" s="132" customFormat="1">
      <c r="B11" s="140" t="s">
        <v>107</v>
      </c>
      <c r="C11" s="140" t="s">
        <v>226</v>
      </c>
      <c r="D11" s="141">
        <f>COUNTIF('Rent Roll Analysis'!D:D,B11)</f>
        <v>32</v>
      </c>
      <c r="E11" s="142">
        <f>D11/$D$12</f>
        <v>0.2</v>
      </c>
      <c r="F11" s="143">
        <f>SUMIF('Rent Roll Analysis'!D:D,B11,'Rent Roll Analysis'!E:E)</f>
        <v>62880</v>
      </c>
      <c r="G11" s="144">
        <f t="shared" si="0"/>
        <v>1965</v>
      </c>
      <c r="H11" s="144"/>
      <c r="I11" s="144">
        <f>D11-J11</f>
        <v>31</v>
      </c>
      <c r="J11" s="144">
        <f>COUNTIF('Rent Roll Analysis'!N:N,B11)</f>
        <v>1</v>
      </c>
      <c r="K11" s="144"/>
      <c r="L11" s="390">
        <f t="shared" si="1"/>
        <v>5333</v>
      </c>
      <c r="M11" s="392">
        <f t="shared" si="2"/>
        <v>2.713994910941476</v>
      </c>
      <c r="N11" s="145"/>
      <c r="O11" s="390">
        <f>SUMIFS('Rent Roll Analysis'!$K$10:$K$197,'Rent Roll Analysis'!$D$10:$D$197,B11,'Rent Roll Analysis'!$F$10:$F$197,"l")/I11</f>
        <v>5109.3580645161283</v>
      </c>
      <c r="P11" s="397">
        <f>O11/L11-1</f>
        <v>-4.1935483870967905E-2</v>
      </c>
      <c r="Q11" s="145"/>
      <c r="R11" s="390">
        <f>SUMIF('Rent Roll Analysis'!D:D,B11,'Rent Roll Analysis'!J:J)</f>
        <v>170656</v>
      </c>
      <c r="S11" s="390">
        <f t="shared" ref="S11" si="4">R11*12</f>
        <v>2047872</v>
      </c>
    </row>
    <row r="12" spans="2:19">
      <c r="B12" s="146"/>
      <c r="C12" s="146"/>
      <c r="D12" s="147">
        <f>SUM(D7:D11)</f>
        <v>160</v>
      </c>
      <c r="E12" s="463">
        <f>SUM(E7:E11)</f>
        <v>1</v>
      </c>
      <c r="F12" s="147">
        <f>SUM(F7:F11)</f>
        <v>258656</v>
      </c>
      <c r="G12" s="148">
        <f t="shared" si="0"/>
        <v>1616.6</v>
      </c>
      <c r="H12" s="149"/>
      <c r="I12" s="148">
        <f>SUM(I7:I11)</f>
        <v>156</v>
      </c>
      <c r="J12" s="150">
        <f>SUM(J7:J11)</f>
        <v>4</v>
      </c>
      <c r="K12" s="149"/>
      <c r="L12" s="391">
        <f t="shared" si="1"/>
        <v>4696.6000000000004</v>
      </c>
      <c r="M12" s="393">
        <f t="shared" si="2"/>
        <v>2.9052332054930106</v>
      </c>
      <c r="N12" s="151"/>
      <c r="O12" s="391">
        <f>SUMIF('Rent Roll Analysis'!$F$10:$F$197,"l",'Rent Roll Analysis'!$K$10:$K$197)/I12</f>
        <v>4520.8400641025646</v>
      </c>
      <c r="P12" s="398">
        <f>SUMPRODUCT(P7:P11,I7:I11)/I12</f>
        <v>-3.5833333333333328E-2</v>
      </c>
      <c r="Q12" s="151"/>
      <c r="R12" s="391">
        <f>SUM(R7:R11)</f>
        <v>751456</v>
      </c>
      <c r="S12" s="391">
        <f>SUM(S7:S11)</f>
        <v>9017472</v>
      </c>
    </row>
  </sheetData>
  <pageMargins left="0.25" right="0.25" top="0.75" bottom="0.75" header="0.3" footer="0.3"/>
  <pageSetup scale="86" orientation="landscape" r:id="rId1"/>
  <headerFooter>
    <oddHeader>&amp;A</oddHeader>
    <oddFooter>&amp;L&amp;B Confidential&amp;B&amp;C&amp;D&amp;RPage &amp;P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65"/>
  <sheetViews>
    <sheetView showGridLines="0" zoomScale="85" zoomScaleNormal="85" workbookViewId="0">
      <pane xSplit="2" ySplit="9" topLeftCell="C10" activePane="bottomRight" state="frozen"/>
      <selection pane="topRight" activeCell="C1" sqref="C1"/>
      <selection pane="bottomLeft" activeCell="A9" sqref="A9"/>
      <selection pane="bottomRight" activeCell="C10" sqref="C10"/>
    </sheetView>
  </sheetViews>
  <sheetFormatPr defaultColWidth="9" defaultRowHeight="12.75"/>
  <cols>
    <col min="1" max="1" width="1.7109375" style="8" customWidth="1"/>
    <col min="2" max="2" width="7.5703125" style="8" hidden="1" customWidth="1"/>
    <col min="3" max="3" width="11.5703125" style="152" customWidth="1"/>
    <col min="4" max="5" width="10.7109375" style="8" customWidth="1"/>
    <col min="6" max="6" width="10.7109375" style="153" customWidth="1"/>
    <col min="7" max="9" width="15.7109375" style="154" customWidth="1"/>
    <col min="10" max="12" width="15.7109375" style="229" customWidth="1"/>
    <col min="13" max="13" width="15.7109375" style="230" customWidth="1"/>
    <col min="14" max="16384" width="9" style="12"/>
  </cols>
  <sheetData>
    <row r="1" spans="1:18" ht="5.0999999999999996" customHeight="1">
      <c r="J1" s="32"/>
      <c r="K1" s="155"/>
      <c r="L1" s="32"/>
      <c r="M1" s="156"/>
    </row>
    <row r="2" spans="1:18" ht="18.75">
      <c r="A2" s="157"/>
      <c r="C2" s="87" t="s">
        <v>104</v>
      </c>
      <c r="D2" s="88"/>
      <c r="E2" s="89"/>
      <c r="F2" s="89"/>
      <c r="G2" s="89"/>
      <c r="H2" s="89"/>
      <c r="I2" s="87"/>
      <c r="J2" s="88"/>
      <c r="K2" s="89"/>
      <c r="L2" s="89"/>
      <c r="M2" s="89"/>
      <c r="N2" s="89"/>
      <c r="O2" s="87"/>
    </row>
    <row r="3" spans="1:18" ht="5.0999999999999996" customHeight="1">
      <c r="A3" s="157"/>
      <c r="D3" s="158"/>
      <c r="E3" s="158"/>
      <c r="F3" s="158"/>
      <c r="G3" s="158"/>
      <c r="H3" s="158"/>
      <c r="I3" s="158"/>
      <c r="J3" s="158"/>
      <c r="K3" s="158"/>
      <c r="L3" s="158"/>
      <c r="M3" s="158"/>
    </row>
    <row r="4" spans="1:18" ht="15">
      <c r="A4" s="157"/>
      <c r="C4" s="160" t="s">
        <v>176</v>
      </c>
      <c r="D4" s="161" t="str">
        <f>Description!C4</f>
        <v>Building I Want</v>
      </c>
      <c r="E4" s="158"/>
      <c r="F4" s="158"/>
      <c r="G4" s="158"/>
      <c r="H4" s="158"/>
      <c r="I4" s="158"/>
      <c r="J4" s="158"/>
      <c r="K4" s="376"/>
      <c r="L4" s="158"/>
      <c r="M4" s="158"/>
      <c r="N4" s="377"/>
      <c r="O4" s="377"/>
    </row>
    <row r="5" spans="1:18">
      <c r="C5" s="160" t="s">
        <v>106</v>
      </c>
      <c r="D5" s="162" t="s">
        <v>202</v>
      </c>
      <c r="F5" s="163"/>
      <c r="G5" s="152"/>
      <c r="H5" s="152"/>
      <c r="I5" s="152"/>
      <c r="J5" s="32"/>
      <c r="K5" s="32"/>
      <c r="L5" s="32"/>
      <c r="M5" s="156"/>
    </row>
    <row r="6" spans="1:18" ht="5.0999999999999996" customHeight="1">
      <c r="B6" s="164"/>
      <c r="C6" s="159"/>
      <c r="D6" s="378"/>
      <c r="F6" s="163"/>
      <c r="G6" s="152"/>
      <c r="H6" s="152"/>
      <c r="I6" s="152"/>
      <c r="J6" s="32"/>
      <c r="K6" s="32"/>
      <c r="L6" s="32"/>
      <c r="M6" s="156"/>
    </row>
    <row r="7" spans="1:18" s="16" customFormat="1" ht="12.75" customHeight="1">
      <c r="A7" s="13"/>
      <c r="B7" s="13"/>
      <c r="E7" s="13"/>
      <c r="F7" s="153"/>
      <c r="G7" s="165"/>
      <c r="H7" s="165"/>
      <c r="I7" s="165"/>
      <c r="J7" s="166"/>
      <c r="K7" s="167"/>
      <c r="L7" s="166"/>
      <c r="N7" s="169" t="s">
        <v>108</v>
      </c>
      <c r="O7" s="169" t="s">
        <v>109</v>
      </c>
    </row>
    <row r="8" spans="1:18" s="16" customFormat="1" ht="11.25">
      <c r="A8" s="13"/>
      <c r="B8" s="170" t="s">
        <v>41</v>
      </c>
      <c r="C8" s="379" t="s">
        <v>110</v>
      </c>
      <c r="D8" s="168" t="s">
        <v>111</v>
      </c>
      <c r="E8" s="380" t="s">
        <v>112</v>
      </c>
      <c r="F8" s="380" t="s">
        <v>48</v>
      </c>
      <c r="G8" s="380" t="s">
        <v>113</v>
      </c>
      <c r="H8" s="381" t="s">
        <v>114</v>
      </c>
      <c r="I8" s="382"/>
      <c r="J8" s="383" t="s">
        <v>115</v>
      </c>
      <c r="K8" s="383" t="s">
        <v>116</v>
      </c>
      <c r="L8" s="383" t="s">
        <v>68</v>
      </c>
      <c r="M8" s="384" t="s">
        <v>117</v>
      </c>
      <c r="N8" s="171" t="s">
        <v>100</v>
      </c>
      <c r="O8" s="171" t="s">
        <v>112</v>
      </c>
    </row>
    <row r="9" spans="1:18" s="16" customFormat="1" ht="12.75" customHeight="1">
      <c r="A9" s="172"/>
      <c r="B9" s="173" t="s">
        <v>119</v>
      </c>
      <c r="C9" s="385" t="s">
        <v>120</v>
      </c>
      <c r="D9" s="173" t="s">
        <v>121</v>
      </c>
      <c r="E9" s="174" t="s">
        <v>122</v>
      </c>
      <c r="F9" s="174" t="s">
        <v>123</v>
      </c>
      <c r="G9" s="174" t="s">
        <v>124</v>
      </c>
      <c r="H9" s="175" t="s">
        <v>125</v>
      </c>
      <c r="I9" s="176" t="s">
        <v>126</v>
      </c>
      <c r="J9" s="177" t="s">
        <v>115</v>
      </c>
      <c r="K9" s="177" t="s">
        <v>116</v>
      </c>
      <c r="L9" s="177" t="s">
        <v>127</v>
      </c>
      <c r="M9" s="386" t="s">
        <v>128</v>
      </c>
      <c r="N9" s="178" t="s">
        <v>119</v>
      </c>
      <c r="O9" s="178" t="s">
        <v>119</v>
      </c>
    </row>
    <row r="10" spans="1:18" s="16" customFormat="1" ht="11.25">
      <c r="A10" s="172" t="str">
        <f>IF(C10="","",IF(C10=C11,"A",IF(C10=C9,"B","")))</f>
        <v/>
      </c>
      <c r="B10" s="179"/>
      <c r="C10" s="180">
        <v>1001</v>
      </c>
      <c r="D10" s="181" t="s">
        <v>131</v>
      </c>
      <c r="E10" s="182">
        <v>1360</v>
      </c>
      <c r="F10" s="183" t="s">
        <v>130</v>
      </c>
      <c r="G10" s="184">
        <v>41640</v>
      </c>
      <c r="H10" s="185">
        <f t="shared" ref="H10:H41" si="0">G10</f>
        <v>41640</v>
      </c>
      <c r="I10" s="186">
        <f t="shared" ref="I10:I41" si="1">DATE(YEAR(H10),1+MONTH(H10),0)</f>
        <v>41670</v>
      </c>
      <c r="J10" s="187">
        <v>4215</v>
      </c>
      <c r="K10" s="187">
        <v>4172.8500000000004</v>
      </c>
      <c r="L10" s="396">
        <f t="shared" ref="L10:L41" si="2">K10-J10</f>
        <v>-42.149999999999636</v>
      </c>
      <c r="M10" s="188">
        <f t="shared" ref="M10:M41" si="3">IF(K10=0,0,(J10-K10)/K10)</f>
        <v>1.0101010101010013E-2</v>
      </c>
      <c r="N10" s="189" t="b">
        <f t="shared" ref="N10:N41" si="4">IF(F10="V",D10)</f>
        <v>0</v>
      </c>
      <c r="O10" s="189">
        <f t="shared" ref="O10:O41" si="5">IF(F10="l",E10,"FALSE")</f>
        <v>1360</v>
      </c>
      <c r="R10" s="389"/>
    </row>
    <row r="11" spans="1:18" s="16" customFormat="1" ht="11.25">
      <c r="A11" s="172" t="str">
        <f t="shared" ref="A11:A74" si="6">IF(C11="","",IF(C11=C12,"A",IF(C11=C10,"B","")))</f>
        <v/>
      </c>
      <c r="B11" s="179"/>
      <c r="C11" s="180">
        <v>1006</v>
      </c>
      <c r="D11" s="181" t="s">
        <v>131</v>
      </c>
      <c r="E11" s="182">
        <v>1360</v>
      </c>
      <c r="F11" s="183" t="s">
        <v>130</v>
      </c>
      <c r="G11" s="184">
        <v>41351</v>
      </c>
      <c r="H11" s="190">
        <f t="shared" si="0"/>
        <v>41351</v>
      </c>
      <c r="I11" s="186">
        <f t="shared" si="1"/>
        <v>41364</v>
      </c>
      <c r="J11" s="187">
        <v>4215</v>
      </c>
      <c r="K11" s="187">
        <v>4004.25</v>
      </c>
      <c r="L11" s="396">
        <f t="shared" si="2"/>
        <v>-210.75</v>
      </c>
      <c r="M11" s="188">
        <f t="shared" si="3"/>
        <v>5.2631578947368418E-2</v>
      </c>
      <c r="N11" s="189" t="b">
        <f t="shared" si="4"/>
        <v>0</v>
      </c>
      <c r="O11" s="189">
        <f t="shared" si="5"/>
        <v>1360</v>
      </c>
      <c r="R11" s="389"/>
    </row>
    <row r="12" spans="1:18" s="16" customFormat="1" ht="11.25">
      <c r="A12" s="172" t="str">
        <f t="shared" si="6"/>
        <v/>
      </c>
      <c r="B12" s="179"/>
      <c r="C12" s="180">
        <v>1011</v>
      </c>
      <c r="D12" s="181" t="s">
        <v>131</v>
      </c>
      <c r="E12" s="182">
        <v>1360</v>
      </c>
      <c r="F12" s="183" t="s">
        <v>130</v>
      </c>
      <c r="G12" s="184">
        <v>40724</v>
      </c>
      <c r="H12" s="185">
        <f t="shared" si="0"/>
        <v>40724</v>
      </c>
      <c r="I12" s="186">
        <f t="shared" si="1"/>
        <v>40724</v>
      </c>
      <c r="J12" s="187">
        <v>4215</v>
      </c>
      <c r="K12" s="187">
        <v>4004.25</v>
      </c>
      <c r="L12" s="396">
        <f t="shared" si="2"/>
        <v>-210.75</v>
      </c>
      <c r="M12" s="188">
        <f t="shared" si="3"/>
        <v>5.2631578947368418E-2</v>
      </c>
      <c r="N12" s="189" t="b">
        <f t="shared" si="4"/>
        <v>0</v>
      </c>
      <c r="O12" s="189">
        <f t="shared" si="5"/>
        <v>1360</v>
      </c>
      <c r="R12" s="389"/>
    </row>
    <row r="13" spans="1:18" s="16" customFormat="1" ht="11.25">
      <c r="A13" s="172" t="str">
        <f t="shared" si="6"/>
        <v/>
      </c>
      <c r="B13" s="179"/>
      <c r="C13" s="180">
        <v>1016</v>
      </c>
      <c r="D13" s="181" t="s">
        <v>131</v>
      </c>
      <c r="E13" s="182">
        <v>1360</v>
      </c>
      <c r="F13" s="183" t="s">
        <v>130</v>
      </c>
      <c r="G13" s="184">
        <v>42020</v>
      </c>
      <c r="H13" s="185">
        <f t="shared" si="0"/>
        <v>42020</v>
      </c>
      <c r="I13" s="186">
        <f t="shared" si="1"/>
        <v>42035</v>
      </c>
      <c r="J13" s="187">
        <v>4215</v>
      </c>
      <c r="K13" s="187">
        <v>4004.25</v>
      </c>
      <c r="L13" s="396">
        <f t="shared" si="2"/>
        <v>-210.75</v>
      </c>
      <c r="M13" s="188">
        <f t="shared" si="3"/>
        <v>5.2631578947368418E-2</v>
      </c>
      <c r="N13" s="189" t="b">
        <f t="shared" si="4"/>
        <v>0</v>
      </c>
      <c r="O13" s="189">
        <f t="shared" si="5"/>
        <v>1360</v>
      </c>
      <c r="R13" s="389"/>
    </row>
    <row r="14" spans="1:18" s="16" customFormat="1" ht="11.25">
      <c r="A14" s="172" t="str">
        <f t="shared" si="6"/>
        <v/>
      </c>
      <c r="B14" s="179"/>
      <c r="C14" s="180">
        <v>2001</v>
      </c>
      <c r="D14" s="181" t="s">
        <v>131</v>
      </c>
      <c r="E14" s="182">
        <v>1360</v>
      </c>
      <c r="F14" s="183" t="s">
        <v>130</v>
      </c>
      <c r="G14" s="184">
        <v>42327</v>
      </c>
      <c r="H14" s="185">
        <f t="shared" si="0"/>
        <v>42327</v>
      </c>
      <c r="I14" s="186">
        <f t="shared" si="1"/>
        <v>42338</v>
      </c>
      <c r="J14" s="187">
        <v>4215</v>
      </c>
      <c r="K14" s="187">
        <v>3962.1</v>
      </c>
      <c r="L14" s="396">
        <f t="shared" si="2"/>
        <v>-252.90000000000009</v>
      </c>
      <c r="M14" s="188">
        <f t="shared" si="3"/>
        <v>6.3829787234042576E-2</v>
      </c>
      <c r="N14" s="189" t="b">
        <f t="shared" si="4"/>
        <v>0</v>
      </c>
      <c r="O14" s="189">
        <f t="shared" si="5"/>
        <v>1360</v>
      </c>
      <c r="R14" s="389"/>
    </row>
    <row r="15" spans="1:18" s="16" customFormat="1" ht="11.25">
      <c r="A15" s="172" t="str">
        <f t="shared" si="6"/>
        <v/>
      </c>
      <c r="B15" s="179"/>
      <c r="C15" s="180">
        <v>2006</v>
      </c>
      <c r="D15" s="181" t="s">
        <v>131</v>
      </c>
      <c r="E15" s="182">
        <v>1360</v>
      </c>
      <c r="F15" s="183" t="s">
        <v>130</v>
      </c>
      <c r="G15" s="184">
        <v>41182</v>
      </c>
      <c r="H15" s="185">
        <f t="shared" si="0"/>
        <v>41182</v>
      </c>
      <c r="I15" s="186">
        <f t="shared" si="1"/>
        <v>41182</v>
      </c>
      <c r="J15" s="187">
        <v>4215</v>
      </c>
      <c r="K15" s="187">
        <v>3962.1</v>
      </c>
      <c r="L15" s="396">
        <f t="shared" si="2"/>
        <v>-252.90000000000009</v>
      </c>
      <c r="M15" s="188">
        <f t="shared" si="3"/>
        <v>6.3829787234042576E-2</v>
      </c>
      <c r="N15" s="189" t="b">
        <f t="shared" si="4"/>
        <v>0</v>
      </c>
      <c r="O15" s="189">
        <f t="shared" si="5"/>
        <v>1360</v>
      </c>
      <c r="R15" s="389"/>
    </row>
    <row r="16" spans="1:18" s="16" customFormat="1" ht="11.25">
      <c r="A16" s="172" t="str">
        <f t="shared" si="6"/>
        <v/>
      </c>
      <c r="B16" s="179"/>
      <c r="C16" s="180">
        <v>2011</v>
      </c>
      <c r="D16" s="181" t="s">
        <v>131</v>
      </c>
      <c r="E16" s="182">
        <v>1360</v>
      </c>
      <c r="F16" s="183" t="s">
        <v>130</v>
      </c>
      <c r="G16" s="184">
        <v>41710</v>
      </c>
      <c r="H16" s="185">
        <f t="shared" si="0"/>
        <v>41710</v>
      </c>
      <c r="I16" s="186">
        <f t="shared" si="1"/>
        <v>41729</v>
      </c>
      <c r="J16" s="187">
        <v>4215</v>
      </c>
      <c r="K16" s="187">
        <v>4088.5499999999997</v>
      </c>
      <c r="L16" s="396">
        <f t="shared" si="2"/>
        <v>-126.45000000000027</v>
      </c>
      <c r="M16" s="188">
        <f t="shared" si="3"/>
        <v>3.0927835051546459E-2</v>
      </c>
      <c r="N16" s="189" t="b">
        <f t="shared" si="4"/>
        <v>0</v>
      </c>
      <c r="O16" s="189">
        <f t="shared" si="5"/>
        <v>1360</v>
      </c>
      <c r="R16" s="389"/>
    </row>
    <row r="17" spans="1:18" s="16" customFormat="1" ht="11.25">
      <c r="A17" s="172" t="str">
        <f t="shared" si="6"/>
        <v/>
      </c>
      <c r="B17" s="179"/>
      <c r="C17" s="180">
        <v>2016</v>
      </c>
      <c r="D17" s="181" t="s">
        <v>131</v>
      </c>
      <c r="E17" s="182">
        <v>1360</v>
      </c>
      <c r="F17" s="183" t="s">
        <v>130</v>
      </c>
      <c r="G17" s="184">
        <v>41640</v>
      </c>
      <c r="H17" s="185">
        <f t="shared" si="0"/>
        <v>41640</v>
      </c>
      <c r="I17" s="186">
        <f t="shared" si="1"/>
        <v>41670</v>
      </c>
      <c r="J17" s="187">
        <v>4215</v>
      </c>
      <c r="K17" s="187">
        <v>4088.5499999999997</v>
      </c>
      <c r="L17" s="396">
        <f t="shared" si="2"/>
        <v>-126.45000000000027</v>
      </c>
      <c r="M17" s="188">
        <f t="shared" si="3"/>
        <v>3.0927835051546459E-2</v>
      </c>
      <c r="N17" s="189" t="b">
        <f t="shared" si="4"/>
        <v>0</v>
      </c>
      <c r="O17" s="189">
        <f t="shared" si="5"/>
        <v>1360</v>
      </c>
      <c r="R17" s="389"/>
    </row>
    <row r="18" spans="1:18" s="16" customFormat="1" ht="11.25">
      <c r="A18" s="172" t="str">
        <f t="shared" si="6"/>
        <v/>
      </c>
      <c r="B18" s="179"/>
      <c r="C18" s="180">
        <v>3001</v>
      </c>
      <c r="D18" s="181" t="s">
        <v>131</v>
      </c>
      <c r="E18" s="182">
        <v>1360</v>
      </c>
      <c r="F18" s="183" t="s">
        <v>130</v>
      </c>
      <c r="G18" s="184">
        <v>41808</v>
      </c>
      <c r="H18" s="185">
        <f t="shared" si="0"/>
        <v>41808</v>
      </c>
      <c r="I18" s="186">
        <f t="shared" si="1"/>
        <v>41820</v>
      </c>
      <c r="J18" s="187">
        <v>4215</v>
      </c>
      <c r="K18" s="187">
        <v>4257.1499999999996</v>
      </c>
      <c r="L18" s="396">
        <f t="shared" si="2"/>
        <v>42.149999999999636</v>
      </c>
      <c r="M18" s="188">
        <f t="shared" si="3"/>
        <v>-9.9009900990098161E-3</v>
      </c>
      <c r="N18" s="189" t="b">
        <f t="shared" si="4"/>
        <v>0</v>
      </c>
      <c r="O18" s="189">
        <f t="shared" si="5"/>
        <v>1360</v>
      </c>
      <c r="R18" s="389"/>
    </row>
    <row r="19" spans="1:18" s="16" customFormat="1" ht="11.25">
      <c r="A19" s="172" t="str">
        <f t="shared" si="6"/>
        <v/>
      </c>
      <c r="B19" s="179"/>
      <c r="C19" s="180">
        <v>3006</v>
      </c>
      <c r="D19" s="181" t="s">
        <v>131</v>
      </c>
      <c r="E19" s="182">
        <v>1360</v>
      </c>
      <c r="F19" s="183" t="s">
        <v>130</v>
      </c>
      <c r="G19" s="184">
        <v>42374</v>
      </c>
      <c r="H19" s="185">
        <f t="shared" si="0"/>
        <v>42374</v>
      </c>
      <c r="I19" s="186">
        <f t="shared" si="1"/>
        <v>42400</v>
      </c>
      <c r="J19" s="187">
        <v>4215</v>
      </c>
      <c r="K19" s="187">
        <v>3919.9500000000003</v>
      </c>
      <c r="L19" s="396">
        <f t="shared" si="2"/>
        <v>-295.04999999999973</v>
      </c>
      <c r="M19" s="188">
        <f t="shared" si="3"/>
        <v>7.5268817204300995E-2</v>
      </c>
      <c r="N19" s="189" t="b">
        <f t="shared" si="4"/>
        <v>0</v>
      </c>
      <c r="O19" s="189">
        <f t="shared" si="5"/>
        <v>1360</v>
      </c>
      <c r="R19" s="389"/>
    </row>
    <row r="20" spans="1:18" s="16" customFormat="1" ht="11.25">
      <c r="A20" s="172" t="str">
        <f t="shared" si="6"/>
        <v/>
      </c>
      <c r="B20" s="179"/>
      <c r="C20" s="180">
        <v>3011</v>
      </c>
      <c r="D20" s="181" t="s">
        <v>131</v>
      </c>
      <c r="E20" s="182">
        <v>1360</v>
      </c>
      <c r="F20" s="183" t="s">
        <v>130</v>
      </c>
      <c r="G20" s="184">
        <v>42217</v>
      </c>
      <c r="H20" s="185">
        <f t="shared" si="0"/>
        <v>42217</v>
      </c>
      <c r="I20" s="186">
        <f t="shared" si="1"/>
        <v>42247</v>
      </c>
      <c r="J20" s="187">
        <v>4215</v>
      </c>
      <c r="K20" s="187">
        <v>4046.3999999999996</v>
      </c>
      <c r="L20" s="396">
        <f t="shared" si="2"/>
        <v>-168.60000000000036</v>
      </c>
      <c r="M20" s="188">
        <f t="shared" si="3"/>
        <v>4.1666666666666761E-2</v>
      </c>
      <c r="N20" s="189" t="b">
        <f t="shared" si="4"/>
        <v>0</v>
      </c>
      <c r="O20" s="189">
        <f t="shared" si="5"/>
        <v>1360</v>
      </c>
      <c r="R20" s="389"/>
    </row>
    <row r="21" spans="1:18" s="16" customFormat="1" ht="11.25">
      <c r="A21" s="172" t="str">
        <f t="shared" si="6"/>
        <v/>
      </c>
      <c r="B21" s="179"/>
      <c r="C21" s="180">
        <v>3016</v>
      </c>
      <c r="D21" s="181" t="s">
        <v>131</v>
      </c>
      <c r="E21" s="182">
        <v>1360</v>
      </c>
      <c r="F21" s="183" t="s">
        <v>130</v>
      </c>
      <c r="G21" s="184">
        <v>41849</v>
      </c>
      <c r="H21" s="185">
        <f t="shared" si="0"/>
        <v>41849</v>
      </c>
      <c r="I21" s="186">
        <f t="shared" si="1"/>
        <v>41851</v>
      </c>
      <c r="J21" s="187">
        <v>4215</v>
      </c>
      <c r="K21" s="187">
        <v>4004.25</v>
      </c>
      <c r="L21" s="396">
        <f t="shared" si="2"/>
        <v>-210.75</v>
      </c>
      <c r="M21" s="188">
        <f t="shared" si="3"/>
        <v>5.2631578947368418E-2</v>
      </c>
      <c r="N21" s="189" t="b">
        <f t="shared" si="4"/>
        <v>0</v>
      </c>
      <c r="O21" s="189">
        <f t="shared" si="5"/>
        <v>1360</v>
      </c>
      <c r="R21" s="389"/>
    </row>
    <row r="22" spans="1:18" s="16" customFormat="1" ht="11.25">
      <c r="A22" s="172" t="str">
        <f t="shared" si="6"/>
        <v/>
      </c>
      <c r="B22" s="179"/>
      <c r="C22" s="180">
        <v>4001</v>
      </c>
      <c r="D22" s="181" t="s">
        <v>131</v>
      </c>
      <c r="E22" s="182">
        <v>1360</v>
      </c>
      <c r="F22" s="183" t="s">
        <v>130</v>
      </c>
      <c r="G22" s="184">
        <v>42460</v>
      </c>
      <c r="H22" s="185">
        <f t="shared" si="0"/>
        <v>42460</v>
      </c>
      <c r="I22" s="186">
        <f t="shared" si="1"/>
        <v>42460</v>
      </c>
      <c r="J22" s="187">
        <v>4215</v>
      </c>
      <c r="K22" s="187">
        <v>4172.8500000000004</v>
      </c>
      <c r="L22" s="396">
        <f t="shared" si="2"/>
        <v>-42.149999999999636</v>
      </c>
      <c r="M22" s="188">
        <f t="shared" si="3"/>
        <v>1.0101010101010013E-2</v>
      </c>
      <c r="N22" s="189" t="b">
        <f t="shared" si="4"/>
        <v>0</v>
      </c>
      <c r="O22" s="189">
        <f t="shared" si="5"/>
        <v>1360</v>
      </c>
      <c r="R22" s="389"/>
    </row>
    <row r="23" spans="1:18" s="16" customFormat="1" ht="11.25">
      <c r="A23" s="172" t="str">
        <f t="shared" si="6"/>
        <v/>
      </c>
      <c r="B23" s="179"/>
      <c r="C23" s="180">
        <v>4006</v>
      </c>
      <c r="D23" s="181" t="s">
        <v>131</v>
      </c>
      <c r="E23" s="182">
        <v>1360</v>
      </c>
      <c r="F23" s="183" t="s">
        <v>130</v>
      </c>
      <c r="G23" s="184">
        <v>41152</v>
      </c>
      <c r="H23" s="185">
        <f t="shared" si="0"/>
        <v>41152</v>
      </c>
      <c r="I23" s="186">
        <f t="shared" si="1"/>
        <v>41152</v>
      </c>
      <c r="J23" s="187">
        <v>4215</v>
      </c>
      <c r="K23" s="187">
        <v>3962.1</v>
      </c>
      <c r="L23" s="396">
        <f t="shared" si="2"/>
        <v>-252.90000000000009</v>
      </c>
      <c r="M23" s="188">
        <f t="shared" si="3"/>
        <v>6.3829787234042576E-2</v>
      </c>
      <c r="N23" s="189" t="b">
        <f t="shared" si="4"/>
        <v>0</v>
      </c>
      <c r="O23" s="189">
        <f t="shared" si="5"/>
        <v>1360</v>
      </c>
      <c r="R23" s="389"/>
    </row>
    <row r="24" spans="1:18" s="16" customFormat="1" ht="11.25">
      <c r="A24" s="172" t="str">
        <f t="shared" si="6"/>
        <v/>
      </c>
      <c r="B24" s="179"/>
      <c r="C24" s="180">
        <v>4011</v>
      </c>
      <c r="D24" s="181" t="s">
        <v>131</v>
      </c>
      <c r="E24" s="182">
        <v>1360</v>
      </c>
      <c r="F24" s="183" t="s">
        <v>130</v>
      </c>
      <c r="G24" s="184">
        <v>41121</v>
      </c>
      <c r="H24" s="185">
        <f t="shared" si="0"/>
        <v>41121</v>
      </c>
      <c r="I24" s="186">
        <f t="shared" si="1"/>
        <v>41121</v>
      </c>
      <c r="J24" s="187">
        <v>4215</v>
      </c>
      <c r="K24" s="187">
        <v>4257.1499999999996</v>
      </c>
      <c r="L24" s="396">
        <f t="shared" si="2"/>
        <v>42.149999999999636</v>
      </c>
      <c r="M24" s="188">
        <f t="shared" si="3"/>
        <v>-9.9009900990098161E-3</v>
      </c>
      <c r="N24" s="189" t="b">
        <f t="shared" si="4"/>
        <v>0</v>
      </c>
      <c r="O24" s="189">
        <f t="shared" si="5"/>
        <v>1360</v>
      </c>
      <c r="R24" s="389"/>
    </row>
    <row r="25" spans="1:18" s="16" customFormat="1" ht="11.25">
      <c r="A25" s="172" t="str">
        <f t="shared" si="6"/>
        <v/>
      </c>
      <c r="B25" s="179"/>
      <c r="C25" s="180">
        <v>4016</v>
      </c>
      <c r="D25" s="181" t="s">
        <v>131</v>
      </c>
      <c r="E25" s="182">
        <v>1360</v>
      </c>
      <c r="F25" s="183" t="s">
        <v>130</v>
      </c>
      <c r="G25" s="184">
        <v>41127</v>
      </c>
      <c r="H25" s="185">
        <f t="shared" si="0"/>
        <v>41127</v>
      </c>
      <c r="I25" s="186">
        <f t="shared" si="1"/>
        <v>41152</v>
      </c>
      <c r="J25" s="187">
        <v>4215</v>
      </c>
      <c r="K25" s="187">
        <v>4046.3999999999996</v>
      </c>
      <c r="L25" s="396">
        <f t="shared" si="2"/>
        <v>-168.60000000000036</v>
      </c>
      <c r="M25" s="188">
        <f t="shared" si="3"/>
        <v>4.1666666666666761E-2</v>
      </c>
      <c r="N25" s="189" t="b">
        <f t="shared" si="4"/>
        <v>0</v>
      </c>
      <c r="O25" s="189">
        <f t="shared" si="5"/>
        <v>1360</v>
      </c>
      <c r="R25" s="389"/>
    </row>
    <row r="26" spans="1:18" s="16" customFormat="1" ht="11.25">
      <c r="A26" s="172" t="str">
        <f t="shared" si="6"/>
        <v/>
      </c>
      <c r="B26" s="179"/>
      <c r="C26" s="180">
        <v>5001</v>
      </c>
      <c r="D26" s="181" t="s">
        <v>131</v>
      </c>
      <c r="E26" s="182">
        <v>1360</v>
      </c>
      <c r="F26" s="183" t="s">
        <v>130</v>
      </c>
      <c r="G26" s="184">
        <v>41275</v>
      </c>
      <c r="H26" s="185">
        <f t="shared" si="0"/>
        <v>41275</v>
      </c>
      <c r="I26" s="186">
        <f t="shared" si="1"/>
        <v>41305</v>
      </c>
      <c r="J26" s="187">
        <v>4215</v>
      </c>
      <c r="K26" s="187">
        <v>4257.1499999999996</v>
      </c>
      <c r="L26" s="396">
        <f t="shared" si="2"/>
        <v>42.149999999999636</v>
      </c>
      <c r="M26" s="188">
        <f t="shared" si="3"/>
        <v>-9.9009900990098161E-3</v>
      </c>
      <c r="N26" s="189" t="b">
        <f t="shared" si="4"/>
        <v>0</v>
      </c>
      <c r="O26" s="189">
        <f t="shared" si="5"/>
        <v>1360</v>
      </c>
      <c r="R26" s="389"/>
    </row>
    <row r="27" spans="1:18" s="16" customFormat="1" ht="11.25">
      <c r="A27" s="172" t="str">
        <f t="shared" si="6"/>
        <v/>
      </c>
      <c r="B27" s="179"/>
      <c r="C27" s="180">
        <v>5006</v>
      </c>
      <c r="D27" s="181" t="s">
        <v>131</v>
      </c>
      <c r="E27" s="182">
        <v>1360</v>
      </c>
      <c r="F27" s="183" t="s">
        <v>130</v>
      </c>
      <c r="G27" s="184">
        <v>41346</v>
      </c>
      <c r="H27" s="185">
        <f t="shared" si="0"/>
        <v>41346</v>
      </c>
      <c r="I27" s="186">
        <f t="shared" si="1"/>
        <v>41364</v>
      </c>
      <c r="J27" s="187">
        <v>4215</v>
      </c>
      <c r="K27" s="187">
        <v>4257.1499999999996</v>
      </c>
      <c r="L27" s="396">
        <f t="shared" si="2"/>
        <v>42.149999999999636</v>
      </c>
      <c r="M27" s="188">
        <f t="shared" si="3"/>
        <v>-9.9009900990098161E-3</v>
      </c>
      <c r="N27" s="189" t="b">
        <f t="shared" si="4"/>
        <v>0</v>
      </c>
      <c r="O27" s="189">
        <f t="shared" si="5"/>
        <v>1360</v>
      </c>
      <c r="R27" s="389"/>
    </row>
    <row r="28" spans="1:18" s="16" customFormat="1" ht="11.25">
      <c r="A28" s="172" t="str">
        <f t="shared" si="6"/>
        <v/>
      </c>
      <c r="B28" s="179"/>
      <c r="C28" s="180">
        <v>5011</v>
      </c>
      <c r="D28" s="181" t="s">
        <v>131</v>
      </c>
      <c r="E28" s="182">
        <v>1360</v>
      </c>
      <c r="F28" s="183" t="s">
        <v>130</v>
      </c>
      <c r="G28" s="184">
        <v>41503</v>
      </c>
      <c r="H28" s="185">
        <f t="shared" si="0"/>
        <v>41503</v>
      </c>
      <c r="I28" s="186">
        <f t="shared" si="1"/>
        <v>41517</v>
      </c>
      <c r="J28" s="187">
        <v>4215</v>
      </c>
      <c r="K28" s="187">
        <v>4215</v>
      </c>
      <c r="L28" s="396">
        <f t="shared" si="2"/>
        <v>0</v>
      </c>
      <c r="M28" s="188">
        <f t="shared" si="3"/>
        <v>0</v>
      </c>
      <c r="N28" s="189" t="b">
        <f t="shared" si="4"/>
        <v>0</v>
      </c>
      <c r="O28" s="189">
        <f t="shared" si="5"/>
        <v>1360</v>
      </c>
      <c r="R28" s="389"/>
    </row>
    <row r="29" spans="1:18" s="16" customFormat="1" ht="11.25">
      <c r="A29" s="172" t="str">
        <f t="shared" si="6"/>
        <v/>
      </c>
      <c r="B29" s="179"/>
      <c r="C29" s="180">
        <v>5016</v>
      </c>
      <c r="D29" s="181" t="s">
        <v>131</v>
      </c>
      <c r="E29" s="182">
        <v>1360</v>
      </c>
      <c r="F29" s="183" t="s">
        <v>130</v>
      </c>
      <c r="G29" s="184">
        <v>41618</v>
      </c>
      <c r="H29" s="185">
        <f t="shared" si="0"/>
        <v>41618</v>
      </c>
      <c r="I29" s="186">
        <f t="shared" si="1"/>
        <v>41639</v>
      </c>
      <c r="J29" s="187">
        <v>4215</v>
      </c>
      <c r="K29" s="187">
        <v>4172.8500000000004</v>
      </c>
      <c r="L29" s="396">
        <f t="shared" si="2"/>
        <v>-42.149999999999636</v>
      </c>
      <c r="M29" s="188">
        <f t="shared" si="3"/>
        <v>1.0101010101010013E-2</v>
      </c>
      <c r="N29" s="189" t="b">
        <f t="shared" si="4"/>
        <v>0</v>
      </c>
      <c r="O29" s="189">
        <f t="shared" si="5"/>
        <v>1360</v>
      </c>
      <c r="R29" s="389"/>
    </row>
    <row r="30" spans="1:18" s="16" customFormat="1" ht="11.25">
      <c r="A30" s="172" t="str">
        <f t="shared" si="6"/>
        <v/>
      </c>
      <c r="B30" s="179"/>
      <c r="C30" s="180">
        <v>6001</v>
      </c>
      <c r="D30" s="181" t="s">
        <v>131</v>
      </c>
      <c r="E30" s="182">
        <v>1360</v>
      </c>
      <c r="F30" s="183" t="s">
        <v>130</v>
      </c>
      <c r="G30" s="184">
        <v>42146</v>
      </c>
      <c r="H30" s="185">
        <f t="shared" si="0"/>
        <v>42146</v>
      </c>
      <c r="I30" s="186">
        <f t="shared" si="1"/>
        <v>42155</v>
      </c>
      <c r="J30" s="187">
        <v>4215</v>
      </c>
      <c r="K30" s="187">
        <v>4215</v>
      </c>
      <c r="L30" s="396">
        <f t="shared" si="2"/>
        <v>0</v>
      </c>
      <c r="M30" s="188">
        <f t="shared" si="3"/>
        <v>0</v>
      </c>
      <c r="N30" s="189" t="b">
        <f t="shared" si="4"/>
        <v>0</v>
      </c>
      <c r="O30" s="189">
        <f t="shared" si="5"/>
        <v>1360</v>
      </c>
      <c r="R30" s="389"/>
    </row>
    <row r="31" spans="1:18" s="16" customFormat="1" ht="11.25">
      <c r="A31" s="172" t="str">
        <f t="shared" si="6"/>
        <v/>
      </c>
      <c r="B31" s="179"/>
      <c r="C31" s="180">
        <v>6006</v>
      </c>
      <c r="D31" s="181" t="s">
        <v>131</v>
      </c>
      <c r="E31" s="182">
        <v>1360</v>
      </c>
      <c r="F31" s="183" t="s">
        <v>130</v>
      </c>
      <c r="G31" s="184">
        <v>42011</v>
      </c>
      <c r="H31" s="185">
        <f t="shared" si="0"/>
        <v>42011</v>
      </c>
      <c r="I31" s="186">
        <f t="shared" si="1"/>
        <v>42035</v>
      </c>
      <c r="J31" s="187">
        <v>4215</v>
      </c>
      <c r="K31" s="187">
        <v>4215</v>
      </c>
      <c r="L31" s="396">
        <f t="shared" si="2"/>
        <v>0</v>
      </c>
      <c r="M31" s="188">
        <f t="shared" si="3"/>
        <v>0</v>
      </c>
      <c r="N31" s="189" t="b">
        <f t="shared" si="4"/>
        <v>0</v>
      </c>
      <c r="O31" s="189">
        <f t="shared" si="5"/>
        <v>1360</v>
      </c>
      <c r="R31" s="389"/>
    </row>
    <row r="32" spans="1:18" s="16" customFormat="1" ht="11.25">
      <c r="A32" s="172" t="str">
        <f t="shared" si="6"/>
        <v/>
      </c>
      <c r="B32" s="179"/>
      <c r="C32" s="180">
        <v>6011</v>
      </c>
      <c r="D32" s="181" t="s">
        <v>131</v>
      </c>
      <c r="E32" s="182">
        <v>1360</v>
      </c>
      <c r="F32" s="183" t="s">
        <v>130</v>
      </c>
      <c r="G32" s="184">
        <v>41759</v>
      </c>
      <c r="H32" s="185">
        <f t="shared" si="0"/>
        <v>41759</v>
      </c>
      <c r="I32" s="186">
        <f t="shared" si="1"/>
        <v>41759</v>
      </c>
      <c r="J32" s="187">
        <v>4215</v>
      </c>
      <c r="K32" s="187">
        <v>3962.1</v>
      </c>
      <c r="L32" s="396">
        <f t="shared" si="2"/>
        <v>-252.90000000000009</v>
      </c>
      <c r="M32" s="188">
        <f t="shared" si="3"/>
        <v>6.3829787234042576E-2</v>
      </c>
      <c r="N32" s="189" t="b">
        <f t="shared" si="4"/>
        <v>0</v>
      </c>
      <c r="O32" s="189">
        <f t="shared" si="5"/>
        <v>1360</v>
      </c>
      <c r="R32" s="389"/>
    </row>
    <row r="33" spans="1:18" s="16" customFormat="1" ht="11.25">
      <c r="A33" s="172" t="str">
        <f t="shared" si="6"/>
        <v/>
      </c>
      <c r="B33" s="179"/>
      <c r="C33" s="180">
        <v>6016</v>
      </c>
      <c r="D33" s="181" t="s">
        <v>131</v>
      </c>
      <c r="E33" s="182">
        <v>1360</v>
      </c>
      <c r="F33" s="183" t="s">
        <v>130</v>
      </c>
      <c r="G33" s="184">
        <v>41090</v>
      </c>
      <c r="H33" s="185">
        <f t="shared" si="0"/>
        <v>41090</v>
      </c>
      <c r="I33" s="186">
        <f t="shared" si="1"/>
        <v>41090</v>
      </c>
      <c r="J33" s="187">
        <v>4215</v>
      </c>
      <c r="K33" s="187">
        <v>4130.7</v>
      </c>
      <c r="L33" s="396">
        <f t="shared" si="2"/>
        <v>-84.300000000000182</v>
      </c>
      <c r="M33" s="188">
        <f t="shared" si="3"/>
        <v>2.0408163265306166E-2</v>
      </c>
      <c r="N33" s="189" t="b">
        <f t="shared" si="4"/>
        <v>0</v>
      </c>
      <c r="O33" s="189">
        <f t="shared" si="5"/>
        <v>1360</v>
      </c>
      <c r="R33" s="389"/>
    </row>
    <row r="34" spans="1:18" s="16" customFormat="1" ht="11.25">
      <c r="A34" s="172" t="str">
        <f t="shared" si="6"/>
        <v/>
      </c>
      <c r="B34" s="179"/>
      <c r="C34" s="180">
        <v>7001</v>
      </c>
      <c r="D34" s="181" t="s">
        <v>131</v>
      </c>
      <c r="E34" s="182">
        <v>1360</v>
      </c>
      <c r="F34" s="183" t="s">
        <v>130</v>
      </c>
      <c r="G34" s="184">
        <v>40816</v>
      </c>
      <c r="H34" s="185">
        <f t="shared" si="0"/>
        <v>40816</v>
      </c>
      <c r="I34" s="186">
        <f t="shared" si="1"/>
        <v>40816</v>
      </c>
      <c r="J34" s="187">
        <v>4215</v>
      </c>
      <c r="K34" s="187">
        <v>4257.1499999999996</v>
      </c>
      <c r="L34" s="396">
        <f t="shared" si="2"/>
        <v>42.149999999999636</v>
      </c>
      <c r="M34" s="188">
        <f t="shared" si="3"/>
        <v>-9.9009900990098161E-3</v>
      </c>
      <c r="N34" s="189" t="b">
        <f t="shared" si="4"/>
        <v>0</v>
      </c>
      <c r="O34" s="189">
        <f t="shared" si="5"/>
        <v>1360</v>
      </c>
      <c r="R34" s="389"/>
    </row>
    <row r="35" spans="1:18" s="16" customFormat="1" ht="11.25">
      <c r="A35" s="172" t="str">
        <f t="shared" si="6"/>
        <v/>
      </c>
      <c r="B35" s="179"/>
      <c r="C35" s="180">
        <v>7006</v>
      </c>
      <c r="D35" s="181" t="s">
        <v>131</v>
      </c>
      <c r="E35" s="182">
        <v>1360</v>
      </c>
      <c r="F35" s="183" t="s">
        <v>130</v>
      </c>
      <c r="G35" s="184">
        <v>41820</v>
      </c>
      <c r="H35" s="185">
        <f t="shared" si="0"/>
        <v>41820</v>
      </c>
      <c r="I35" s="186">
        <f t="shared" si="1"/>
        <v>41820</v>
      </c>
      <c r="J35" s="187">
        <v>4215</v>
      </c>
      <c r="K35" s="187">
        <v>4172.8500000000004</v>
      </c>
      <c r="L35" s="396">
        <f t="shared" si="2"/>
        <v>-42.149999999999636</v>
      </c>
      <c r="M35" s="188">
        <f t="shared" si="3"/>
        <v>1.0101010101010013E-2</v>
      </c>
      <c r="N35" s="189" t="b">
        <f t="shared" si="4"/>
        <v>0</v>
      </c>
      <c r="O35" s="189">
        <f t="shared" si="5"/>
        <v>1360</v>
      </c>
      <c r="R35" s="389"/>
    </row>
    <row r="36" spans="1:18" s="16" customFormat="1" ht="11.25">
      <c r="A36" s="172" t="str">
        <f t="shared" si="6"/>
        <v/>
      </c>
      <c r="B36" s="179"/>
      <c r="C36" s="180">
        <v>7011</v>
      </c>
      <c r="D36" s="181" t="s">
        <v>131</v>
      </c>
      <c r="E36" s="182">
        <v>1360</v>
      </c>
      <c r="F36" s="183" t="s">
        <v>130</v>
      </c>
      <c r="G36" s="184">
        <v>42200</v>
      </c>
      <c r="H36" s="185">
        <f t="shared" si="0"/>
        <v>42200</v>
      </c>
      <c r="I36" s="186">
        <f t="shared" si="1"/>
        <v>42216</v>
      </c>
      <c r="J36" s="187">
        <v>4215</v>
      </c>
      <c r="K36" s="187">
        <v>4088.5499999999997</v>
      </c>
      <c r="L36" s="396">
        <f t="shared" si="2"/>
        <v>-126.45000000000027</v>
      </c>
      <c r="M36" s="188">
        <f t="shared" si="3"/>
        <v>3.0927835051546459E-2</v>
      </c>
      <c r="N36" s="189" t="b">
        <f t="shared" si="4"/>
        <v>0</v>
      </c>
      <c r="O36" s="189">
        <f t="shared" si="5"/>
        <v>1360</v>
      </c>
      <c r="R36" s="389"/>
    </row>
    <row r="37" spans="1:18" s="16" customFormat="1" ht="11.25">
      <c r="A37" s="172" t="str">
        <f t="shared" si="6"/>
        <v/>
      </c>
      <c r="B37" s="179"/>
      <c r="C37" s="180">
        <v>7016</v>
      </c>
      <c r="D37" s="181" t="s">
        <v>131</v>
      </c>
      <c r="E37" s="182">
        <v>1360</v>
      </c>
      <c r="F37" s="183" t="s">
        <v>130</v>
      </c>
      <c r="G37" s="184">
        <v>42290</v>
      </c>
      <c r="H37" s="185">
        <f t="shared" si="0"/>
        <v>42290</v>
      </c>
      <c r="I37" s="186">
        <f t="shared" si="1"/>
        <v>42308</v>
      </c>
      <c r="J37" s="187">
        <v>4215</v>
      </c>
      <c r="K37" s="187">
        <v>4215</v>
      </c>
      <c r="L37" s="396">
        <f t="shared" si="2"/>
        <v>0</v>
      </c>
      <c r="M37" s="188">
        <f t="shared" si="3"/>
        <v>0</v>
      </c>
      <c r="N37" s="189" t="b">
        <f t="shared" si="4"/>
        <v>0</v>
      </c>
      <c r="O37" s="189">
        <f t="shared" si="5"/>
        <v>1360</v>
      </c>
      <c r="R37" s="389"/>
    </row>
    <row r="38" spans="1:18" s="16" customFormat="1" ht="11.25">
      <c r="A38" s="172" t="str">
        <f t="shared" si="6"/>
        <v/>
      </c>
      <c r="B38" s="179"/>
      <c r="C38" s="180">
        <v>8001</v>
      </c>
      <c r="D38" s="181" t="s">
        <v>131</v>
      </c>
      <c r="E38" s="182">
        <v>1360</v>
      </c>
      <c r="F38" s="183" t="s">
        <v>130</v>
      </c>
      <c r="G38" s="184">
        <v>42338</v>
      </c>
      <c r="H38" s="185">
        <f t="shared" si="0"/>
        <v>42338</v>
      </c>
      <c r="I38" s="186">
        <f t="shared" si="1"/>
        <v>42338</v>
      </c>
      <c r="J38" s="187">
        <v>4215</v>
      </c>
      <c r="K38" s="187">
        <v>3962.1</v>
      </c>
      <c r="L38" s="396">
        <f t="shared" si="2"/>
        <v>-252.90000000000009</v>
      </c>
      <c r="M38" s="188">
        <f t="shared" si="3"/>
        <v>6.3829787234042576E-2</v>
      </c>
      <c r="N38" s="189" t="b">
        <f t="shared" si="4"/>
        <v>0</v>
      </c>
      <c r="O38" s="189">
        <f t="shared" si="5"/>
        <v>1360</v>
      </c>
      <c r="R38" s="389"/>
    </row>
    <row r="39" spans="1:18" s="16" customFormat="1" ht="11.25">
      <c r="A39" s="172" t="str">
        <f t="shared" si="6"/>
        <v/>
      </c>
      <c r="B39" s="179"/>
      <c r="C39" s="180">
        <v>8006</v>
      </c>
      <c r="D39" s="181" t="s">
        <v>131</v>
      </c>
      <c r="E39" s="182">
        <v>1360</v>
      </c>
      <c r="F39" s="183" t="s">
        <v>130</v>
      </c>
      <c r="G39" s="184">
        <v>42381</v>
      </c>
      <c r="H39" s="185">
        <f t="shared" si="0"/>
        <v>42381</v>
      </c>
      <c r="I39" s="186">
        <f t="shared" si="1"/>
        <v>42400</v>
      </c>
      <c r="J39" s="187">
        <v>4215</v>
      </c>
      <c r="K39" s="187">
        <v>3919.9500000000003</v>
      </c>
      <c r="L39" s="396">
        <f t="shared" si="2"/>
        <v>-295.04999999999973</v>
      </c>
      <c r="M39" s="188">
        <f t="shared" si="3"/>
        <v>7.5268817204300995E-2</v>
      </c>
      <c r="N39" s="189" t="b">
        <f t="shared" si="4"/>
        <v>0</v>
      </c>
      <c r="O39" s="189">
        <f t="shared" si="5"/>
        <v>1360</v>
      </c>
      <c r="R39" s="389"/>
    </row>
    <row r="40" spans="1:18" s="16" customFormat="1" ht="11.25">
      <c r="A40" s="172" t="str">
        <f t="shared" si="6"/>
        <v/>
      </c>
      <c r="B40" s="179"/>
      <c r="C40" s="180">
        <v>8011</v>
      </c>
      <c r="D40" s="181" t="s">
        <v>131</v>
      </c>
      <c r="E40" s="182">
        <v>1360</v>
      </c>
      <c r="F40" s="183" t="s">
        <v>130</v>
      </c>
      <c r="G40" s="184">
        <v>42109</v>
      </c>
      <c r="H40" s="185">
        <f t="shared" si="0"/>
        <v>42109</v>
      </c>
      <c r="I40" s="186">
        <f t="shared" si="1"/>
        <v>42124</v>
      </c>
      <c r="J40" s="187">
        <v>4215</v>
      </c>
      <c r="K40" s="187">
        <v>3919.9500000000003</v>
      </c>
      <c r="L40" s="396">
        <f t="shared" si="2"/>
        <v>-295.04999999999973</v>
      </c>
      <c r="M40" s="188">
        <f t="shared" si="3"/>
        <v>7.5268817204300995E-2</v>
      </c>
      <c r="N40" s="189" t="b">
        <f t="shared" si="4"/>
        <v>0</v>
      </c>
      <c r="O40" s="189">
        <f t="shared" si="5"/>
        <v>1360</v>
      </c>
      <c r="R40" s="389"/>
    </row>
    <row r="41" spans="1:18" s="16" customFormat="1" ht="11.25">
      <c r="A41" s="172" t="str">
        <f t="shared" si="6"/>
        <v/>
      </c>
      <c r="B41" s="179"/>
      <c r="C41" s="180">
        <v>8016</v>
      </c>
      <c r="D41" s="181" t="s">
        <v>131</v>
      </c>
      <c r="E41" s="182">
        <v>1360</v>
      </c>
      <c r="F41" s="183" t="s">
        <v>130</v>
      </c>
      <c r="G41" s="184">
        <v>41503</v>
      </c>
      <c r="H41" s="185">
        <f t="shared" si="0"/>
        <v>41503</v>
      </c>
      <c r="I41" s="186">
        <f t="shared" si="1"/>
        <v>41517</v>
      </c>
      <c r="J41" s="187">
        <v>4215</v>
      </c>
      <c r="K41" s="187">
        <v>4088.5499999999997</v>
      </c>
      <c r="L41" s="396">
        <f t="shared" si="2"/>
        <v>-126.45000000000027</v>
      </c>
      <c r="M41" s="188">
        <f t="shared" si="3"/>
        <v>3.0927835051546459E-2</v>
      </c>
      <c r="N41" s="189" t="b">
        <f t="shared" si="4"/>
        <v>0</v>
      </c>
      <c r="O41" s="189">
        <f t="shared" si="5"/>
        <v>1360</v>
      </c>
      <c r="R41" s="389"/>
    </row>
    <row r="42" spans="1:18" s="16" customFormat="1" ht="11.25">
      <c r="A42" s="172" t="str">
        <f t="shared" si="6"/>
        <v/>
      </c>
      <c r="B42" s="179"/>
      <c r="C42" s="180">
        <v>1002</v>
      </c>
      <c r="D42" s="181" t="s">
        <v>129</v>
      </c>
      <c r="E42" s="182">
        <v>1423</v>
      </c>
      <c r="F42" s="183" t="s">
        <v>130</v>
      </c>
      <c r="G42" s="184">
        <v>42304</v>
      </c>
      <c r="H42" s="185">
        <f t="shared" ref="H42:H73" si="7">G42</f>
        <v>42304</v>
      </c>
      <c r="I42" s="186">
        <f t="shared" ref="I42:I73" si="8">DATE(YEAR(H42),1+MONTH(H42),0)</f>
        <v>42308</v>
      </c>
      <c r="J42" s="187">
        <v>4305</v>
      </c>
      <c r="K42" s="187">
        <v>4175.8499999999995</v>
      </c>
      <c r="L42" s="396">
        <f t="shared" ref="L42:L73" si="9">K42-J42</f>
        <v>-129.15000000000055</v>
      </c>
      <c r="M42" s="188">
        <f t="shared" ref="M42:M73" si="10">IF(K42=0,0,(J42-K42)/K42)</f>
        <v>3.0927835051546528E-2</v>
      </c>
      <c r="N42" s="189" t="b">
        <f t="shared" ref="N42:N73" si="11">IF(F42="V",D42)</f>
        <v>0</v>
      </c>
      <c r="O42" s="189">
        <f t="shared" ref="O42:O73" si="12">IF(F42="l",E42,"FALSE")</f>
        <v>1423</v>
      </c>
      <c r="R42" s="389"/>
    </row>
    <row r="43" spans="1:18" s="16" customFormat="1" ht="11.25">
      <c r="A43" s="172" t="str">
        <f t="shared" si="6"/>
        <v/>
      </c>
      <c r="B43" s="179"/>
      <c r="C43" s="180">
        <v>1007</v>
      </c>
      <c r="D43" s="181" t="s">
        <v>129</v>
      </c>
      <c r="E43" s="182">
        <v>1423</v>
      </c>
      <c r="F43" s="183" t="s">
        <v>130</v>
      </c>
      <c r="G43" s="184">
        <v>42138</v>
      </c>
      <c r="H43" s="185">
        <f t="shared" si="7"/>
        <v>42138</v>
      </c>
      <c r="I43" s="186">
        <f t="shared" si="8"/>
        <v>42155</v>
      </c>
      <c r="J43" s="187">
        <v>4305</v>
      </c>
      <c r="K43" s="187">
        <v>4132.8</v>
      </c>
      <c r="L43" s="396">
        <f t="shared" si="9"/>
        <v>-172.19999999999982</v>
      </c>
      <c r="M43" s="188">
        <f t="shared" si="10"/>
        <v>4.1666666666666623E-2</v>
      </c>
      <c r="N43" s="189" t="b">
        <f t="shared" si="11"/>
        <v>0</v>
      </c>
      <c r="O43" s="189">
        <f t="shared" si="12"/>
        <v>1423</v>
      </c>
      <c r="R43" s="389"/>
    </row>
    <row r="44" spans="1:18" s="16" customFormat="1" ht="11.25">
      <c r="A44" s="172" t="str">
        <f t="shared" si="6"/>
        <v/>
      </c>
      <c r="B44" s="179"/>
      <c r="C44" s="180">
        <v>1012</v>
      </c>
      <c r="D44" s="181" t="s">
        <v>129</v>
      </c>
      <c r="E44" s="182">
        <v>1423</v>
      </c>
      <c r="F44" s="183" t="s">
        <v>130</v>
      </c>
      <c r="G44" s="184">
        <v>41152</v>
      </c>
      <c r="H44" s="185">
        <f t="shared" si="7"/>
        <v>41152</v>
      </c>
      <c r="I44" s="186">
        <f t="shared" si="8"/>
        <v>41152</v>
      </c>
      <c r="J44" s="187">
        <v>4305</v>
      </c>
      <c r="K44" s="187">
        <v>4175.8499999999995</v>
      </c>
      <c r="L44" s="396">
        <f t="shared" si="9"/>
        <v>-129.15000000000055</v>
      </c>
      <c r="M44" s="188">
        <f t="shared" si="10"/>
        <v>3.0927835051546528E-2</v>
      </c>
      <c r="N44" s="189" t="b">
        <f t="shared" si="11"/>
        <v>0</v>
      </c>
      <c r="O44" s="189">
        <f t="shared" si="12"/>
        <v>1423</v>
      </c>
      <c r="R44" s="389"/>
    </row>
    <row r="45" spans="1:18" s="16" customFormat="1" ht="11.25">
      <c r="A45" s="172" t="str">
        <f t="shared" si="6"/>
        <v/>
      </c>
      <c r="B45" s="179"/>
      <c r="C45" s="180">
        <v>1017</v>
      </c>
      <c r="D45" s="181" t="s">
        <v>129</v>
      </c>
      <c r="E45" s="182">
        <v>1423</v>
      </c>
      <c r="F45" s="183" t="s">
        <v>130</v>
      </c>
      <c r="G45" s="184">
        <v>41275</v>
      </c>
      <c r="H45" s="185">
        <f t="shared" si="7"/>
        <v>41275</v>
      </c>
      <c r="I45" s="186">
        <f t="shared" si="8"/>
        <v>41305</v>
      </c>
      <c r="J45" s="187">
        <v>4305</v>
      </c>
      <c r="K45" s="187">
        <v>4261.95</v>
      </c>
      <c r="L45" s="396">
        <f t="shared" si="9"/>
        <v>-43.050000000000182</v>
      </c>
      <c r="M45" s="188">
        <f t="shared" si="10"/>
        <v>1.0101010101010144E-2</v>
      </c>
      <c r="N45" s="189" t="b">
        <f t="shared" si="11"/>
        <v>0</v>
      </c>
      <c r="O45" s="189">
        <f t="shared" si="12"/>
        <v>1423</v>
      </c>
      <c r="R45" s="389"/>
    </row>
    <row r="46" spans="1:18" s="16" customFormat="1" ht="11.25">
      <c r="A46" s="172" t="str">
        <f t="shared" si="6"/>
        <v/>
      </c>
      <c r="B46" s="179"/>
      <c r="C46" s="180">
        <v>2002</v>
      </c>
      <c r="D46" s="181" t="s">
        <v>129</v>
      </c>
      <c r="E46" s="182">
        <v>1423</v>
      </c>
      <c r="F46" s="183" t="s">
        <v>130</v>
      </c>
      <c r="G46" s="184">
        <v>40884</v>
      </c>
      <c r="H46" s="185">
        <f t="shared" si="7"/>
        <v>40884</v>
      </c>
      <c r="I46" s="186">
        <f t="shared" si="8"/>
        <v>40908</v>
      </c>
      <c r="J46" s="187">
        <v>4305</v>
      </c>
      <c r="K46" s="187">
        <v>4089.75</v>
      </c>
      <c r="L46" s="396">
        <f t="shared" si="9"/>
        <v>-215.25</v>
      </c>
      <c r="M46" s="188">
        <f t="shared" si="10"/>
        <v>5.2631578947368418E-2</v>
      </c>
      <c r="N46" s="189" t="b">
        <f t="shared" si="11"/>
        <v>0</v>
      </c>
      <c r="O46" s="189">
        <f t="shared" si="12"/>
        <v>1423</v>
      </c>
      <c r="R46" s="389"/>
    </row>
    <row r="47" spans="1:18" s="16" customFormat="1" ht="11.25">
      <c r="A47" s="172" t="str">
        <f t="shared" si="6"/>
        <v/>
      </c>
      <c r="B47" s="179"/>
      <c r="C47" s="180">
        <v>2007</v>
      </c>
      <c r="D47" s="181" t="s">
        <v>129</v>
      </c>
      <c r="E47" s="182">
        <v>1423</v>
      </c>
      <c r="F47" s="183" t="s">
        <v>130</v>
      </c>
      <c r="G47" s="184">
        <v>41547</v>
      </c>
      <c r="H47" s="185">
        <f t="shared" si="7"/>
        <v>41547</v>
      </c>
      <c r="I47" s="186">
        <f t="shared" si="8"/>
        <v>41547</v>
      </c>
      <c r="J47" s="187">
        <v>4305</v>
      </c>
      <c r="K47" s="187">
        <v>4218.8999999999996</v>
      </c>
      <c r="L47" s="396">
        <f t="shared" si="9"/>
        <v>-86.100000000000364</v>
      </c>
      <c r="M47" s="188">
        <f t="shared" si="10"/>
        <v>2.0408163265306211E-2</v>
      </c>
      <c r="N47" s="189" t="b">
        <f t="shared" si="11"/>
        <v>0</v>
      </c>
      <c r="O47" s="189">
        <f t="shared" si="12"/>
        <v>1423</v>
      </c>
      <c r="R47" s="389"/>
    </row>
    <row r="48" spans="1:18" s="16" customFormat="1" ht="11.25">
      <c r="A48" s="172" t="str">
        <f t="shared" si="6"/>
        <v/>
      </c>
      <c r="B48" s="179"/>
      <c r="C48" s="180">
        <v>2012</v>
      </c>
      <c r="D48" s="181" t="s">
        <v>129</v>
      </c>
      <c r="E48" s="182">
        <v>1423</v>
      </c>
      <c r="F48" s="183" t="s">
        <v>134</v>
      </c>
      <c r="G48" s="184"/>
      <c r="H48" s="185">
        <f t="shared" si="7"/>
        <v>0</v>
      </c>
      <c r="I48" s="186">
        <f t="shared" si="8"/>
        <v>31</v>
      </c>
      <c r="J48" s="187">
        <v>4305</v>
      </c>
      <c r="K48" s="187">
        <v>4003.65</v>
      </c>
      <c r="L48" s="396">
        <f t="shared" si="9"/>
        <v>-301.34999999999991</v>
      </c>
      <c r="M48" s="188">
        <f t="shared" si="10"/>
        <v>7.526881720430105E-2</v>
      </c>
      <c r="N48" s="189" t="str">
        <f t="shared" si="11"/>
        <v>B</v>
      </c>
      <c r="O48" s="189" t="str">
        <f t="shared" si="12"/>
        <v>FALSE</v>
      </c>
      <c r="R48" s="389"/>
    </row>
    <row r="49" spans="1:18" s="16" customFormat="1" ht="11.25">
      <c r="A49" s="172" t="str">
        <f t="shared" si="6"/>
        <v/>
      </c>
      <c r="B49" s="179"/>
      <c r="C49" s="180">
        <v>2017</v>
      </c>
      <c r="D49" s="181" t="s">
        <v>129</v>
      </c>
      <c r="E49" s="182">
        <v>1423</v>
      </c>
      <c r="F49" s="183" t="s">
        <v>130</v>
      </c>
      <c r="G49" s="184">
        <v>41347</v>
      </c>
      <c r="H49" s="185">
        <f t="shared" si="7"/>
        <v>41347</v>
      </c>
      <c r="I49" s="186">
        <f t="shared" si="8"/>
        <v>41364</v>
      </c>
      <c r="J49" s="187">
        <v>4305</v>
      </c>
      <c r="K49" s="187">
        <v>4305</v>
      </c>
      <c r="L49" s="396">
        <f t="shared" si="9"/>
        <v>0</v>
      </c>
      <c r="M49" s="188">
        <f t="shared" si="10"/>
        <v>0</v>
      </c>
      <c r="N49" s="189" t="b">
        <f t="shared" si="11"/>
        <v>0</v>
      </c>
      <c r="O49" s="189">
        <f t="shared" si="12"/>
        <v>1423</v>
      </c>
      <c r="R49" s="389"/>
    </row>
    <row r="50" spans="1:18" s="16" customFormat="1" ht="11.25">
      <c r="A50" s="172" t="str">
        <f t="shared" si="6"/>
        <v/>
      </c>
      <c r="B50" s="179"/>
      <c r="C50" s="180">
        <v>3002</v>
      </c>
      <c r="D50" s="181" t="s">
        <v>129</v>
      </c>
      <c r="E50" s="182">
        <v>1423</v>
      </c>
      <c r="F50" s="183" t="s">
        <v>130</v>
      </c>
      <c r="G50" s="184">
        <v>42430</v>
      </c>
      <c r="H50" s="185">
        <f t="shared" si="7"/>
        <v>42430</v>
      </c>
      <c r="I50" s="186">
        <f t="shared" si="8"/>
        <v>42460</v>
      </c>
      <c r="J50" s="187">
        <v>4305</v>
      </c>
      <c r="K50" s="187">
        <v>4046.7</v>
      </c>
      <c r="L50" s="396">
        <f t="shared" si="9"/>
        <v>-258.30000000000018</v>
      </c>
      <c r="M50" s="188">
        <f t="shared" si="10"/>
        <v>6.3829787234042604E-2</v>
      </c>
      <c r="N50" s="189" t="b">
        <f t="shared" si="11"/>
        <v>0</v>
      </c>
      <c r="O50" s="189">
        <f t="shared" si="12"/>
        <v>1423</v>
      </c>
      <c r="R50" s="389"/>
    </row>
    <row r="51" spans="1:18" s="16" customFormat="1" ht="11.25">
      <c r="A51" s="172" t="str">
        <f t="shared" si="6"/>
        <v/>
      </c>
      <c r="B51" s="179"/>
      <c r="C51" s="180">
        <v>3007</v>
      </c>
      <c r="D51" s="181" t="s">
        <v>129</v>
      </c>
      <c r="E51" s="182">
        <v>1423</v>
      </c>
      <c r="F51" s="183" t="s">
        <v>130</v>
      </c>
      <c r="G51" s="184">
        <v>42460</v>
      </c>
      <c r="H51" s="185">
        <f t="shared" si="7"/>
        <v>42460</v>
      </c>
      <c r="I51" s="186">
        <f t="shared" si="8"/>
        <v>42460</v>
      </c>
      <c r="J51" s="187">
        <v>4305</v>
      </c>
      <c r="K51" s="187">
        <v>4003.65</v>
      </c>
      <c r="L51" s="396">
        <f t="shared" si="9"/>
        <v>-301.34999999999991</v>
      </c>
      <c r="M51" s="188">
        <f t="shared" si="10"/>
        <v>7.526881720430105E-2</v>
      </c>
      <c r="N51" s="189" t="b">
        <f t="shared" si="11"/>
        <v>0</v>
      </c>
      <c r="O51" s="189">
        <f t="shared" si="12"/>
        <v>1423</v>
      </c>
      <c r="R51" s="389"/>
    </row>
    <row r="52" spans="1:18" s="16" customFormat="1" ht="11.25">
      <c r="A52" s="172" t="str">
        <f t="shared" si="6"/>
        <v/>
      </c>
      <c r="B52" s="179"/>
      <c r="C52" s="180">
        <v>3012</v>
      </c>
      <c r="D52" s="181" t="s">
        <v>129</v>
      </c>
      <c r="E52" s="182">
        <v>1423</v>
      </c>
      <c r="F52" s="183" t="s">
        <v>130</v>
      </c>
      <c r="G52" s="184">
        <v>42004</v>
      </c>
      <c r="H52" s="185">
        <f t="shared" si="7"/>
        <v>42004</v>
      </c>
      <c r="I52" s="186">
        <f t="shared" si="8"/>
        <v>42004</v>
      </c>
      <c r="J52" s="187">
        <v>4305</v>
      </c>
      <c r="K52" s="187">
        <v>4305</v>
      </c>
      <c r="L52" s="396">
        <f t="shared" si="9"/>
        <v>0</v>
      </c>
      <c r="M52" s="188">
        <f t="shared" si="10"/>
        <v>0</v>
      </c>
      <c r="N52" s="189" t="b">
        <f t="shared" si="11"/>
        <v>0</v>
      </c>
      <c r="O52" s="189">
        <f t="shared" si="12"/>
        <v>1423</v>
      </c>
      <c r="R52" s="389"/>
    </row>
    <row r="53" spans="1:18" s="16" customFormat="1" ht="11.25">
      <c r="A53" s="172" t="str">
        <f t="shared" si="6"/>
        <v/>
      </c>
      <c r="B53" s="179"/>
      <c r="C53" s="180">
        <v>3017</v>
      </c>
      <c r="D53" s="181" t="s">
        <v>129</v>
      </c>
      <c r="E53" s="182">
        <v>1423</v>
      </c>
      <c r="F53" s="183" t="s">
        <v>130</v>
      </c>
      <c r="G53" s="184">
        <v>41426</v>
      </c>
      <c r="H53" s="185">
        <f t="shared" si="7"/>
        <v>41426</v>
      </c>
      <c r="I53" s="186">
        <f t="shared" si="8"/>
        <v>41455</v>
      </c>
      <c r="J53" s="187">
        <v>4305</v>
      </c>
      <c r="K53" s="187">
        <v>3960.6000000000004</v>
      </c>
      <c r="L53" s="396">
        <f t="shared" si="9"/>
        <v>-344.39999999999964</v>
      </c>
      <c r="M53" s="188">
        <f t="shared" si="10"/>
        <v>8.6956521739130335E-2</v>
      </c>
      <c r="N53" s="189" t="b">
        <f t="shared" si="11"/>
        <v>0</v>
      </c>
      <c r="O53" s="189">
        <f t="shared" si="12"/>
        <v>1423</v>
      </c>
      <c r="R53" s="389"/>
    </row>
    <row r="54" spans="1:18" s="16" customFormat="1" ht="11.25">
      <c r="A54" s="172" t="str">
        <f t="shared" si="6"/>
        <v/>
      </c>
      <c r="B54" s="179"/>
      <c r="C54" s="180">
        <v>4002</v>
      </c>
      <c r="D54" s="181" t="s">
        <v>129</v>
      </c>
      <c r="E54" s="182">
        <v>1423</v>
      </c>
      <c r="F54" s="183" t="s">
        <v>130</v>
      </c>
      <c r="G54" s="184">
        <v>42412</v>
      </c>
      <c r="H54" s="185">
        <f t="shared" si="7"/>
        <v>42412</v>
      </c>
      <c r="I54" s="186">
        <f t="shared" si="8"/>
        <v>42429</v>
      </c>
      <c r="J54" s="187">
        <v>4305</v>
      </c>
      <c r="K54" s="187">
        <v>4175.8499999999995</v>
      </c>
      <c r="L54" s="396">
        <f t="shared" si="9"/>
        <v>-129.15000000000055</v>
      </c>
      <c r="M54" s="188">
        <f t="shared" si="10"/>
        <v>3.0927835051546528E-2</v>
      </c>
      <c r="N54" s="189" t="b">
        <f t="shared" si="11"/>
        <v>0</v>
      </c>
      <c r="O54" s="189">
        <f t="shared" si="12"/>
        <v>1423</v>
      </c>
      <c r="R54" s="389"/>
    </row>
    <row r="55" spans="1:18" s="16" customFormat="1" ht="11.25">
      <c r="A55" s="172" t="str">
        <f t="shared" si="6"/>
        <v/>
      </c>
      <c r="B55" s="179"/>
      <c r="C55" s="180">
        <v>4007</v>
      </c>
      <c r="D55" s="181" t="s">
        <v>129</v>
      </c>
      <c r="E55" s="182">
        <v>1423</v>
      </c>
      <c r="F55" s="183" t="s">
        <v>130</v>
      </c>
      <c r="G55" s="184">
        <v>41152</v>
      </c>
      <c r="H55" s="185">
        <f t="shared" si="7"/>
        <v>41152</v>
      </c>
      <c r="I55" s="186">
        <f t="shared" si="8"/>
        <v>41152</v>
      </c>
      <c r="J55" s="187">
        <v>4305</v>
      </c>
      <c r="K55" s="187">
        <v>4046.7</v>
      </c>
      <c r="L55" s="396">
        <f t="shared" si="9"/>
        <v>-258.30000000000018</v>
      </c>
      <c r="M55" s="188">
        <f t="shared" si="10"/>
        <v>6.3829787234042604E-2</v>
      </c>
      <c r="N55" s="189" t="b">
        <f t="shared" si="11"/>
        <v>0</v>
      </c>
      <c r="O55" s="189">
        <f t="shared" si="12"/>
        <v>1423</v>
      </c>
      <c r="R55" s="389"/>
    </row>
    <row r="56" spans="1:18" s="16" customFormat="1" ht="11.25">
      <c r="A56" s="172" t="str">
        <f t="shared" si="6"/>
        <v/>
      </c>
      <c r="B56" s="179"/>
      <c r="C56" s="180">
        <v>4012</v>
      </c>
      <c r="D56" s="181" t="s">
        <v>129</v>
      </c>
      <c r="E56" s="182">
        <v>1423</v>
      </c>
      <c r="F56" s="183" t="s">
        <v>130</v>
      </c>
      <c r="G56" s="184">
        <v>41117</v>
      </c>
      <c r="H56" s="185">
        <f t="shared" si="7"/>
        <v>41117</v>
      </c>
      <c r="I56" s="186">
        <f t="shared" si="8"/>
        <v>41121</v>
      </c>
      <c r="J56" s="187">
        <v>4305</v>
      </c>
      <c r="K56" s="187">
        <v>4046.7</v>
      </c>
      <c r="L56" s="396">
        <f t="shared" si="9"/>
        <v>-258.30000000000018</v>
      </c>
      <c r="M56" s="188">
        <f t="shared" si="10"/>
        <v>6.3829787234042604E-2</v>
      </c>
      <c r="N56" s="189" t="b">
        <f t="shared" si="11"/>
        <v>0</v>
      </c>
      <c r="O56" s="189">
        <f t="shared" si="12"/>
        <v>1423</v>
      </c>
      <c r="R56" s="389"/>
    </row>
    <row r="57" spans="1:18" s="16" customFormat="1" ht="11.25">
      <c r="A57" s="172" t="str">
        <f t="shared" si="6"/>
        <v/>
      </c>
      <c r="B57" s="179"/>
      <c r="C57" s="180">
        <v>4017</v>
      </c>
      <c r="D57" s="181" t="s">
        <v>129</v>
      </c>
      <c r="E57" s="182">
        <v>1423</v>
      </c>
      <c r="F57" s="183" t="s">
        <v>130</v>
      </c>
      <c r="G57" s="184">
        <v>41673</v>
      </c>
      <c r="H57" s="185">
        <f t="shared" si="7"/>
        <v>41673</v>
      </c>
      <c r="I57" s="186">
        <f t="shared" si="8"/>
        <v>41698</v>
      </c>
      <c r="J57" s="187">
        <v>4305</v>
      </c>
      <c r="K57" s="187">
        <v>4261.95</v>
      </c>
      <c r="L57" s="396">
        <f t="shared" si="9"/>
        <v>-43.050000000000182</v>
      </c>
      <c r="M57" s="188">
        <f t="shared" si="10"/>
        <v>1.0101010101010144E-2</v>
      </c>
      <c r="N57" s="189" t="b">
        <f t="shared" si="11"/>
        <v>0</v>
      </c>
      <c r="O57" s="189">
        <f t="shared" si="12"/>
        <v>1423</v>
      </c>
      <c r="R57" s="389"/>
    </row>
    <row r="58" spans="1:18" s="16" customFormat="1" ht="11.25">
      <c r="A58" s="172" t="str">
        <f t="shared" si="6"/>
        <v/>
      </c>
      <c r="B58" s="179"/>
      <c r="C58" s="180">
        <v>5002</v>
      </c>
      <c r="D58" s="181" t="s">
        <v>129</v>
      </c>
      <c r="E58" s="182">
        <v>1423</v>
      </c>
      <c r="F58" s="183" t="s">
        <v>130</v>
      </c>
      <c r="G58" s="184">
        <v>41905</v>
      </c>
      <c r="H58" s="185">
        <f t="shared" si="7"/>
        <v>41905</v>
      </c>
      <c r="I58" s="186">
        <f t="shared" si="8"/>
        <v>41912</v>
      </c>
      <c r="J58" s="187">
        <v>4305</v>
      </c>
      <c r="K58" s="187">
        <v>4046.7</v>
      </c>
      <c r="L58" s="396">
        <f t="shared" si="9"/>
        <v>-258.30000000000018</v>
      </c>
      <c r="M58" s="188">
        <f t="shared" si="10"/>
        <v>6.3829787234042604E-2</v>
      </c>
      <c r="N58" s="189" t="b">
        <f t="shared" si="11"/>
        <v>0</v>
      </c>
      <c r="O58" s="189">
        <f t="shared" si="12"/>
        <v>1423</v>
      </c>
      <c r="R58" s="389"/>
    </row>
    <row r="59" spans="1:18" s="16" customFormat="1" ht="11.25">
      <c r="A59" s="172" t="str">
        <f t="shared" si="6"/>
        <v/>
      </c>
      <c r="B59" s="179"/>
      <c r="C59" s="180">
        <v>5007</v>
      </c>
      <c r="D59" s="181" t="s">
        <v>129</v>
      </c>
      <c r="E59" s="182">
        <v>1423</v>
      </c>
      <c r="F59" s="183" t="s">
        <v>130</v>
      </c>
      <c r="G59" s="184">
        <v>41394</v>
      </c>
      <c r="H59" s="185">
        <f t="shared" si="7"/>
        <v>41394</v>
      </c>
      <c r="I59" s="186">
        <f t="shared" si="8"/>
        <v>41394</v>
      </c>
      <c r="J59" s="187">
        <v>4305</v>
      </c>
      <c r="K59" s="187">
        <v>4348.05</v>
      </c>
      <c r="L59" s="396">
        <f t="shared" si="9"/>
        <v>43.050000000000182</v>
      </c>
      <c r="M59" s="188">
        <f t="shared" si="10"/>
        <v>-9.9009900990099427E-3</v>
      </c>
      <c r="N59" s="189" t="b">
        <f t="shared" si="11"/>
        <v>0</v>
      </c>
      <c r="O59" s="189">
        <f t="shared" si="12"/>
        <v>1423</v>
      </c>
      <c r="R59" s="389"/>
    </row>
    <row r="60" spans="1:18" s="16" customFormat="1" ht="11.25">
      <c r="A60" s="172" t="str">
        <f t="shared" si="6"/>
        <v/>
      </c>
      <c r="B60" s="179"/>
      <c r="C60" s="180">
        <v>5012</v>
      </c>
      <c r="D60" s="181" t="s">
        <v>129</v>
      </c>
      <c r="E60" s="182">
        <v>1423</v>
      </c>
      <c r="F60" s="183" t="s">
        <v>130</v>
      </c>
      <c r="G60" s="184">
        <v>41710</v>
      </c>
      <c r="H60" s="185">
        <f t="shared" si="7"/>
        <v>41710</v>
      </c>
      <c r="I60" s="186">
        <f t="shared" si="8"/>
        <v>41729</v>
      </c>
      <c r="J60" s="187">
        <v>4305</v>
      </c>
      <c r="K60" s="187">
        <v>3960.6000000000004</v>
      </c>
      <c r="L60" s="396">
        <f t="shared" si="9"/>
        <v>-344.39999999999964</v>
      </c>
      <c r="M60" s="188">
        <f t="shared" si="10"/>
        <v>8.6956521739130335E-2</v>
      </c>
      <c r="N60" s="189" t="b">
        <f t="shared" si="11"/>
        <v>0</v>
      </c>
      <c r="O60" s="189">
        <f t="shared" si="12"/>
        <v>1423</v>
      </c>
      <c r="R60" s="389"/>
    </row>
    <row r="61" spans="1:18" s="16" customFormat="1" ht="11.25">
      <c r="A61" s="172" t="str">
        <f t="shared" si="6"/>
        <v/>
      </c>
      <c r="B61" s="179"/>
      <c r="C61" s="180">
        <v>5017</v>
      </c>
      <c r="D61" s="181" t="s">
        <v>129</v>
      </c>
      <c r="E61" s="182">
        <v>1423</v>
      </c>
      <c r="F61" s="183" t="s">
        <v>130</v>
      </c>
      <c r="G61" s="184">
        <v>41020</v>
      </c>
      <c r="H61" s="185">
        <f t="shared" si="7"/>
        <v>41020</v>
      </c>
      <c r="I61" s="186">
        <f t="shared" si="8"/>
        <v>41029</v>
      </c>
      <c r="J61" s="187">
        <v>4305</v>
      </c>
      <c r="K61" s="187">
        <v>4132.8</v>
      </c>
      <c r="L61" s="396">
        <f t="shared" si="9"/>
        <v>-172.19999999999982</v>
      </c>
      <c r="M61" s="188">
        <f t="shared" si="10"/>
        <v>4.1666666666666623E-2</v>
      </c>
      <c r="N61" s="189" t="b">
        <f t="shared" si="11"/>
        <v>0</v>
      </c>
      <c r="O61" s="189">
        <f t="shared" si="12"/>
        <v>1423</v>
      </c>
      <c r="R61" s="389"/>
    </row>
    <row r="62" spans="1:18" s="16" customFormat="1" ht="11.25">
      <c r="A62" s="172" t="str">
        <f t="shared" si="6"/>
        <v/>
      </c>
      <c r="B62" s="179"/>
      <c r="C62" s="180">
        <v>6002</v>
      </c>
      <c r="D62" s="181" t="s">
        <v>129</v>
      </c>
      <c r="E62" s="182">
        <v>1423</v>
      </c>
      <c r="F62" s="183" t="s">
        <v>130</v>
      </c>
      <c r="G62" s="184">
        <v>41593</v>
      </c>
      <c r="H62" s="185">
        <f t="shared" si="7"/>
        <v>41593</v>
      </c>
      <c r="I62" s="186">
        <f t="shared" si="8"/>
        <v>41608</v>
      </c>
      <c r="J62" s="187">
        <v>4305</v>
      </c>
      <c r="K62" s="187">
        <v>3960.6000000000004</v>
      </c>
      <c r="L62" s="396">
        <f t="shared" si="9"/>
        <v>-344.39999999999964</v>
      </c>
      <c r="M62" s="188">
        <f t="shared" si="10"/>
        <v>8.6956521739130335E-2</v>
      </c>
      <c r="N62" s="189" t="b">
        <f t="shared" si="11"/>
        <v>0</v>
      </c>
      <c r="O62" s="189">
        <f t="shared" si="12"/>
        <v>1423</v>
      </c>
      <c r="R62" s="389"/>
    </row>
    <row r="63" spans="1:18" s="16" customFormat="1" ht="11.25">
      <c r="A63" s="172" t="str">
        <f t="shared" si="6"/>
        <v/>
      </c>
      <c r="B63" s="179"/>
      <c r="C63" s="180">
        <v>6007</v>
      </c>
      <c r="D63" s="181" t="s">
        <v>129</v>
      </c>
      <c r="E63" s="182">
        <v>1423</v>
      </c>
      <c r="F63" s="183" t="s">
        <v>130</v>
      </c>
      <c r="G63" s="184">
        <v>42247</v>
      </c>
      <c r="H63" s="185">
        <f t="shared" si="7"/>
        <v>42247</v>
      </c>
      <c r="I63" s="186">
        <f t="shared" si="8"/>
        <v>42247</v>
      </c>
      <c r="J63" s="187">
        <v>4305</v>
      </c>
      <c r="K63" s="187">
        <v>4348.05</v>
      </c>
      <c r="L63" s="396">
        <f t="shared" si="9"/>
        <v>43.050000000000182</v>
      </c>
      <c r="M63" s="188">
        <f t="shared" si="10"/>
        <v>-9.9009900990099427E-3</v>
      </c>
      <c r="N63" s="189" t="b">
        <f t="shared" si="11"/>
        <v>0</v>
      </c>
      <c r="O63" s="189">
        <f t="shared" si="12"/>
        <v>1423</v>
      </c>
      <c r="R63" s="389"/>
    </row>
    <row r="64" spans="1:18" s="16" customFormat="1" ht="11.25">
      <c r="A64" s="172" t="str">
        <f t="shared" si="6"/>
        <v/>
      </c>
      <c r="B64" s="179"/>
      <c r="C64" s="180">
        <v>6012</v>
      </c>
      <c r="D64" s="181" t="s">
        <v>129</v>
      </c>
      <c r="E64" s="182">
        <v>1423</v>
      </c>
      <c r="F64" s="183" t="s">
        <v>130</v>
      </c>
      <c r="G64" s="184">
        <v>42013</v>
      </c>
      <c r="H64" s="185">
        <f t="shared" si="7"/>
        <v>42013</v>
      </c>
      <c r="I64" s="186">
        <f t="shared" si="8"/>
        <v>42035</v>
      </c>
      <c r="J64" s="187">
        <v>4305</v>
      </c>
      <c r="K64" s="187">
        <v>4348.05</v>
      </c>
      <c r="L64" s="396">
        <f t="shared" si="9"/>
        <v>43.050000000000182</v>
      </c>
      <c r="M64" s="188">
        <f t="shared" si="10"/>
        <v>-9.9009900990099427E-3</v>
      </c>
      <c r="N64" s="189" t="b">
        <f t="shared" si="11"/>
        <v>0</v>
      </c>
      <c r="O64" s="189">
        <f t="shared" si="12"/>
        <v>1423</v>
      </c>
      <c r="R64" s="389"/>
    </row>
    <row r="65" spans="1:18" s="16" customFormat="1" ht="11.25">
      <c r="A65" s="172" t="str">
        <f t="shared" si="6"/>
        <v/>
      </c>
      <c r="B65" s="179"/>
      <c r="C65" s="180">
        <v>6017</v>
      </c>
      <c r="D65" s="181" t="s">
        <v>129</v>
      </c>
      <c r="E65" s="182">
        <v>1423</v>
      </c>
      <c r="F65" s="183" t="s">
        <v>130</v>
      </c>
      <c r="G65" s="184">
        <v>42332</v>
      </c>
      <c r="H65" s="185">
        <f t="shared" si="7"/>
        <v>42332</v>
      </c>
      <c r="I65" s="186">
        <f t="shared" si="8"/>
        <v>42338</v>
      </c>
      <c r="J65" s="187">
        <v>4305</v>
      </c>
      <c r="K65" s="187">
        <v>4132.8</v>
      </c>
      <c r="L65" s="396">
        <f t="shared" si="9"/>
        <v>-172.19999999999982</v>
      </c>
      <c r="M65" s="188">
        <f t="shared" si="10"/>
        <v>4.1666666666666623E-2</v>
      </c>
      <c r="N65" s="189" t="b">
        <f t="shared" si="11"/>
        <v>0</v>
      </c>
      <c r="O65" s="189">
        <f t="shared" si="12"/>
        <v>1423</v>
      </c>
      <c r="R65" s="389"/>
    </row>
    <row r="66" spans="1:18" s="16" customFormat="1" ht="11.25">
      <c r="A66" s="172" t="str">
        <f t="shared" si="6"/>
        <v/>
      </c>
      <c r="B66" s="179"/>
      <c r="C66" s="180">
        <v>7002</v>
      </c>
      <c r="D66" s="181" t="s">
        <v>129</v>
      </c>
      <c r="E66" s="182">
        <v>1423</v>
      </c>
      <c r="F66" s="183" t="s">
        <v>130</v>
      </c>
      <c r="G66" s="184">
        <v>41619</v>
      </c>
      <c r="H66" s="185">
        <f t="shared" si="7"/>
        <v>41619</v>
      </c>
      <c r="I66" s="186">
        <f t="shared" si="8"/>
        <v>41639</v>
      </c>
      <c r="J66" s="187">
        <v>4305</v>
      </c>
      <c r="K66" s="187">
        <v>3960.6000000000004</v>
      </c>
      <c r="L66" s="396">
        <f t="shared" si="9"/>
        <v>-344.39999999999964</v>
      </c>
      <c r="M66" s="188">
        <f t="shared" si="10"/>
        <v>8.6956521739130335E-2</v>
      </c>
      <c r="N66" s="189" t="b">
        <f t="shared" si="11"/>
        <v>0</v>
      </c>
      <c r="O66" s="189">
        <f t="shared" si="12"/>
        <v>1423</v>
      </c>
      <c r="R66" s="389"/>
    </row>
    <row r="67" spans="1:18" s="16" customFormat="1" ht="11.25">
      <c r="A67" s="172" t="str">
        <f t="shared" si="6"/>
        <v/>
      </c>
      <c r="B67" s="179"/>
      <c r="C67" s="180">
        <v>7007</v>
      </c>
      <c r="D67" s="181" t="s">
        <v>129</v>
      </c>
      <c r="E67" s="182">
        <v>1423</v>
      </c>
      <c r="F67" s="183" t="s">
        <v>130</v>
      </c>
      <c r="G67" s="184">
        <v>40962</v>
      </c>
      <c r="H67" s="185">
        <f t="shared" si="7"/>
        <v>40962</v>
      </c>
      <c r="I67" s="186">
        <f t="shared" si="8"/>
        <v>40968</v>
      </c>
      <c r="J67" s="187">
        <v>4305</v>
      </c>
      <c r="K67" s="187">
        <v>4003.65</v>
      </c>
      <c r="L67" s="396">
        <f t="shared" si="9"/>
        <v>-301.34999999999991</v>
      </c>
      <c r="M67" s="188">
        <f t="shared" si="10"/>
        <v>7.526881720430105E-2</v>
      </c>
      <c r="N67" s="189" t="b">
        <f t="shared" si="11"/>
        <v>0</v>
      </c>
      <c r="O67" s="189">
        <f t="shared" si="12"/>
        <v>1423</v>
      </c>
      <c r="R67" s="389"/>
    </row>
    <row r="68" spans="1:18" s="16" customFormat="1" ht="11.25">
      <c r="A68" s="172" t="str">
        <f t="shared" si="6"/>
        <v/>
      </c>
      <c r="B68" s="179"/>
      <c r="C68" s="180">
        <v>7012</v>
      </c>
      <c r="D68" s="181" t="s">
        <v>129</v>
      </c>
      <c r="E68" s="182">
        <v>1423</v>
      </c>
      <c r="F68" s="183" t="s">
        <v>130</v>
      </c>
      <c r="G68" s="184">
        <v>41628</v>
      </c>
      <c r="H68" s="185">
        <f t="shared" si="7"/>
        <v>41628</v>
      </c>
      <c r="I68" s="186">
        <f t="shared" si="8"/>
        <v>41639</v>
      </c>
      <c r="J68" s="187">
        <v>4305</v>
      </c>
      <c r="K68" s="187">
        <v>4003.65</v>
      </c>
      <c r="L68" s="396">
        <f t="shared" si="9"/>
        <v>-301.34999999999991</v>
      </c>
      <c r="M68" s="188">
        <f t="shared" si="10"/>
        <v>7.526881720430105E-2</v>
      </c>
      <c r="N68" s="189" t="b">
        <f t="shared" si="11"/>
        <v>0</v>
      </c>
      <c r="O68" s="189">
        <f t="shared" si="12"/>
        <v>1423</v>
      </c>
      <c r="R68" s="389"/>
    </row>
    <row r="69" spans="1:18" s="16" customFormat="1" ht="11.25">
      <c r="A69" s="172" t="str">
        <f t="shared" si="6"/>
        <v/>
      </c>
      <c r="B69" s="179"/>
      <c r="C69" s="180">
        <v>7017</v>
      </c>
      <c r="D69" s="181" t="s">
        <v>129</v>
      </c>
      <c r="E69" s="182">
        <v>1423</v>
      </c>
      <c r="F69" s="183" t="s">
        <v>130</v>
      </c>
      <c r="G69" s="184">
        <v>42308</v>
      </c>
      <c r="H69" s="185">
        <f t="shared" si="7"/>
        <v>42308</v>
      </c>
      <c r="I69" s="186">
        <f t="shared" si="8"/>
        <v>42308</v>
      </c>
      <c r="J69" s="187">
        <v>4305</v>
      </c>
      <c r="K69" s="187">
        <v>4132.8</v>
      </c>
      <c r="L69" s="396">
        <f t="shared" si="9"/>
        <v>-172.19999999999982</v>
      </c>
      <c r="M69" s="188">
        <f t="shared" si="10"/>
        <v>4.1666666666666623E-2</v>
      </c>
      <c r="N69" s="189" t="b">
        <f t="shared" si="11"/>
        <v>0</v>
      </c>
      <c r="O69" s="189">
        <f t="shared" si="12"/>
        <v>1423</v>
      </c>
      <c r="R69" s="389"/>
    </row>
    <row r="70" spans="1:18" s="16" customFormat="1" ht="11.25">
      <c r="A70" s="172" t="str">
        <f t="shared" si="6"/>
        <v/>
      </c>
      <c r="B70" s="179"/>
      <c r="C70" s="180">
        <v>8002</v>
      </c>
      <c r="D70" s="181" t="s">
        <v>129</v>
      </c>
      <c r="E70" s="182">
        <v>1423</v>
      </c>
      <c r="F70" s="183" t="s">
        <v>130</v>
      </c>
      <c r="G70" s="184">
        <v>42340</v>
      </c>
      <c r="H70" s="185">
        <f t="shared" si="7"/>
        <v>42340</v>
      </c>
      <c r="I70" s="186">
        <f t="shared" si="8"/>
        <v>42369</v>
      </c>
      <c r="J70" s="187">
        <v>4305</v>
      </c>
      <c r="K70" s="187">
        <v>4305</v>
      </c>
      <c r="L70" s="396">
        <f t="shared" si="9"/>
        <v>0</v>
      </c>
      <c r="M70" s="188">
        <f t="shared" si="10"/>
        <v>0</v>
      </c>
      <c r="N70" s="189" t="b">
        <f t="shared" si="11"/>
        <v>0</v>
      </c>
      <c r="O70" s="189">
        <f t="shared" si="12"/>
        <v>1423</v>
      </c>
      <c r="R70" s="389"/>
    </row>
    <row r="71" spans="1:18" s="16" customFormat="1" ht="11.25">
      <c r="A71" s="172" t="str">
        <f t="shared" si="6"/>
        <v/>
      </c>
      <c r="B71" s="179"/>
      <c r="C71" s="180">
        <v>8007</v>
      </c>
      <c r="D71" s="181" t="s">
        <v>129</v>
      </c>
      <c r="E71" s="182">
        <v>1423</v>
      </c>
      <c r="F71" s="183" t="s">
        <v>130</v>
      </c>
      <c r="G71" s="184">
        <v>42404</v>
      </c>
      <c r="H71" s="185">
        <f t="shared" si="7"/>
        <v>42404</v>
      </c>
      <c r="I71" s="186">
        <f t="shared" si="8"/>
        <v>42429</v>
      </c>
      <c r="J71" s="187">
        <v>4305</v>
      </c>
      <c r="K71" s="187">
        <v>4305</v>
      </c>
      <c r="L71" s="396">
        <f t="shared" si="9"/>
        <v>0</v>
      </c>
      <c r="M71" s="188">
        <f t="shared" si="10"/>
        <v>0</v>
      </c>
      <c r="N71" s="189" t="b">
        <f t="shared" si="11"/>
        <v>0</v>
      </c>
      <c r="O71" s="189">
        <f t="shared" si="12"/>
        <v>1423</v>
      </c>
      <c r="R71" s="389"/>
    </row>
    <row r="72" spans="1:18" s="16" customFormat="1" ht="11.25">
      <c r="A72" s="172" t="str">
        <f t="shared" si="6"/>
        <v/>
      </c>
      <c r="B72" s="179"/>
      <c r="C72" s="180">
        <v>8012</v>
      </c>
      <c r="D72" s="181" t="s">
        <v>129</v>
      </c>
      <c r="E72" s="182">
        <v>1423</v>
      </c>
      <c r="F72" s="183" t="s">
        <v>130</v>
      </c>
      <c r="G72" s="184">
        <v>42109</v>
      </c>
      <c r="H72" s="185">
        <f t="shared" si="7"/>
        <v>42109</v>
      </c>
      <c r="I72" s="186">
        <f t="shared" si="8"/>
        <v>42124</v>
      </c>
      <c r="J72" s="187">
        <v>4305</v>
      </c>
      <c r="K72" s="187">
        <v>4261.95</v>
      </c>
      <c r="L72" s="396">
        <f t="shared" si="9"/>
        <v>-43.050000000000182</v>
      </c>
      <c r="M72" s="188">
        <f t="shared" si="10"/>
        <v>1.0101010101010144E-2</v>
      </c>
      <c r="N72" s="189" t="b">
        <f t="shared" si="11"/>
        <v>0</v>
      </c>
      <c r="O72" s="189">
        <f t="shared" si="12"/>
        <v>1423</v>
      </c>
      <c r="R72" s="389"/>
    </row>
    <row r="73" spans="1:18" s="16" customFormat="1" ht="11.25">
      <c r="A73" s="172" t="str">
        <f t="shared" si="6"/>
        <v/>
      </c>
      <c r="B73" s="179"/>
      <c r="C73" s="180">
        <v>8017</v>
      </c>
      <c r="D73" s="181" t="s">
        <v>129</v>
      </c>
      <c r="E73" s="182">
        <v>1423</v>
      </c>
      <c r="F73" s="183" t="s">
        <v>130</v>
      </c>
      <c r="G73" s="184">
        <v>41547</v>
      </c>
      <c r="H73" s="185">
        <f t="shared" si="7"/>
        <v>41547</v>
      </c>
      <c r="I73" s="186">
        <f t="shared" si="8"/>
        <v>41547</v>
      </c>
      <c r="J73" s="187">
        <v>4305</v>
      </c>
      <c r="K73" s="187">
        <v>4132.8</v>
      </c>
      <c r="L73" s="396">
        <f t="shared" si="9"/>
        <v>-172.19999999999982</v>
      </c>
      <c r="M73" s="188">
        <f t="shared" si="10"/>
        <v>4.1666666666666623E-2</v>
      </c>
      <c r="N73" s="189" t="b">
        <f t="shared" si="11"/>
        <v>0</v>
      </c>
      <c r="O73" s="189">
        <f t="shared" si="12"/>
        <v>1423</v>
      </c>
      <c r="R73" s="389"/>
    </row>
    <row r="74" spans="1:18" s="16" customFormat="1" ht="11.25">
      <c r="A74" s="172" t="str">
        <f t="shared" si="6"/>
        <v/>
      </c>
      <c r="B74" s="179"/>
      <c r="C74" s="180">
        <v>1003</v>
      </c>
      <c r="D74" s="181" t="s">
        <v>133</v>
      </c>
      <c r="E74" s="182">
        <v>1520</v>
      </c>
      <c r="F74" s="183" t="s">
        <v>130</v>
      </c>
      <c r="G74" s="184">
        <v>41172</v>
      </c>
      <c r="H74" s="185">
        <f t="shared" ref="H74:H105" si="13">G74</f>
        <v>41172</v>
      </c>
      <c r="I74" s="186">
        <f t="shared" ref="I74:I105" si="14">DATE(YEAR(H74),1+MONTH(H74),0)</f>
        <v>41182</v>
      </c>
      <c r="J74" s="187">
        <v>4577</v>
      </c>
      <c r="K74" s="187">
        <v>4302.38</v>
      </c>
      <c r="L74" s="396">
        <f t="shared" ref="L74:L105" si="15">K74-J74</f>
        <v>-274.61999999999989</v>
      </c>
      <c r="M74" s="188">
        <f t="shared" ref="M74:M105" si="16">IF(K74=0,0,(J74-K74)/K74)</f>
        <v>6.382978723404252E-2</v>
      </c>
      <c r="N74" s="189" t="b">
        <f t="shared" ref="N74:N105" si="17">IF(F74="V",D74)</f>
        <v>0</v>
      </c>
      <c r="O74" s="189">
        <f t="shared" ref="O74:O105" si="18">IF(F74="l",E74,"FALSE")</f>
        <v>1520</v>
      </c>
      <c r="R74" s="389"/>
    </row>
    <row r="75" spans="1:18" s="16" customFormat="1" ht="11.25">
      <c r="A75" s="172" t="str">
        <f t="shared" ref="A75:A138" si="19">IF(C75="","",IF(C75=C76,"A",IF(C75=C74,"B","")))</f>
        <v/>
      </c>
      <c r="B75" s="179"/>
      <c r="C75" s="180">
        <v>1008</v>
      </c>
      <c r="D75" s="181" t="s">
        <v>133</v>
      </c>
      <c r="E75" s="182">
        <v>1520</v>
      </c>
      <c r="F75" s="183" t="s">
        <v>130</v>
      </c>
      <c r="G75" s="184">
        <v>40596</v>
      </c>
      <c r="H75" s="185">
        <f t="shared" si="13"/>
        <v>40596</v>
      </c>
      <c r="I75" s="186">
        <f t="shared" si="14"/>
        <v>40602</v>
      </c>
      <c r="J75" s="187">
        <v>4577</v>
      </c>
      <c r="K75" s="187">
        <v>4302.38</v>
      </c>
      <c r="L75" s="396">
        <f t="shared" si="15"/>
        <v>-274.61999999999989</v>
      </c>
      <c r="M75" s="188">
        <f t="shared" si="16"/>
        <v>6.382978723404252E-2</v>
      </c>
      <c r="N75" s="189" t="b">
        <f t="shared" si="17"/>
        <v>0</v>
      </c>
      <c r="O75" s="189">
        <f t="shared" si="18"/>
        <v>1520</v>
      </c>
      <c r="R75" s="389"/>
    </row>
    <row r="76" spans="1:18" s="16" customFormat="1" ht="11.25">
      <c r="A76" s="172" t="str">
        <f t="shared" si="19"/>
        <v/>
      </c>
      <c r="B76" s="179"/>
      <c r="C76" s="180">
        <v>1013</v>
      </c>
      <c r="D76" s="181" t="s">
        <v>133</v>
      </c>
      <c r="E76" s="182">
        <v>1520</v>
      </c>
      <c r="F76" s="183" t="s">
        <v>130</v>
      </c>
      <c r="G76" s="184">
        <v>41243</v>
      </c>
      <c r="H76" s="185">
        <f t="shared" si="13"/>
        <v>41243</v>
      </c>
      <c r="I76" s="186">
        <f t="shared" si="14"/>
        <v>41243</v>
      </c>
      <c r="J76" s="187">
        <v>4577</v>
      </c>
      <c r="K76" s="187">
        <v>4622.7700000000004</v>
      </c>
      <c r="L76" s="396">
        <f t="shared" si="15"/>
        <v>45.770000000000437</v>
      </c>
      <c r="M76" s="188">
        <f t="shared" si="16"/>
        <v>-9.9009900990099948E-3</v>
      </c>
      <c r="N76" s="189" t="b">
        <f t="shared" si="17"/>
        <v>0</v>
      </c>
      <c r="O76" s="189">
        <f t="shared" si="18"/>
        <v>1520</v>
      </c>
      <c r="R76" s="389"/>
    </row>
    <row r="77" spans="1:18" s="16" customFormat="1" ht="11.25">
      <c r="A77" s="172" t="str">
        <f t="shared" si="19"/>
        <v/>
      </c>
      <c r="B77" s="179"/>
      <c r="C77" s="180">
        <v>1018</v>
      </c>
      <c r="D77" s="181" t="s">
        <v>133</v>
      </c>
      <c r="E77" s="182">
        <v>1520</v>
      </c>
      <c r="F77" s="183" t="s">
        <v>130</v>
      </c>
      <c r="G77" s="184">
        <v>42028</v>
      </c>
      <c r="H77" s="185">
        <f t="shared" si="13"/>
        <v>42028</v>
      </c>
      <c r="I77" s="186">
        <f t="shared" si="14"/>
        <v>42035</v>
      </c>
      <c r="J77" s="187">
        <v>4577</v>
      </c>
      <c r="K77" s="187">
        <v>4439.6899999999996</v>
      </c>
      <c r="L77" s="396">
        <f t="shared" si="15"/>
        <v>-137.3100000000004</v>
      </c>
      <c r="M77" s="188">
        <f t="shared" si="16"/>
        <v>3.0927835051546483E-2</v>
      </c>
      <c r="N77" s="189" t="b">
        <f t="shared" si="17"/>
        <v>0</v>
      </c>
      <c r="O77" s="189">
        <f t="shared" si="18"/>
        <v>1520</v>
      </c>
      <c r="R77" s="389"/>
    </row>
    <row r="78" spans="1:18" s="16" customFormat="1" ht="11.25">
      <c r="A78" s="172" t="str">
        <f t="shared" si="19"/>
        <v/>
      </c>
      <c r="B78" s="179"/>
      <c r="C78" s="180">
        <v>2003</v>
      </c>
      <c r="D78" s="181" t="s">
        <v>133</v>
      </c>
      <c r="E78" s="182">
        <v>1520</v>
      </c>
      <c r="F78" s="183" t="s">
        <v>130</v>
      </c>
      <c r="G78" s="184">
        <v>41669</v>
      </c>
      <c r="H78" s="185">
        <f t="shared" si="13"/>
        <v>41669</v>
      </c>
      <c r="I78" s="186">
        <f t="shared" si="14"/>
        <v>41670</v>
      </c>
      <c r="J78" s="187">
        <v>4577</v>
      </c>
      <c r="K78" s="187">
        <v>4485.46</v>
      </c>
      <c r="L78" s="396">
        <f t="shared" si="15"/>
        <v>-91.539999999999964</v>
      </c>
      <c r="M78" s="188">
        <f t="shared" si="16"/>
        <v>2.0408163265306114E-2</v>
      </c>
      <c r="N78" s="189" t="b">
        <f t="shared" si="17"/>
        <v>0</v>
      </c>
      <c r="O78" s="189">
        <f t="shared" si="18"/>
        <v>1520</v>
      </c>
      <c r="R78" s="389"/>
    </row>
    <row r="79" spans="1:18" s="16" customFormat="1" ht="11.25">
      <c r="A79" s="172" t="str">
        <f t="shared" si="19"/>
        <v/>
      </c>
      <c r="B79" s="179"/>
      <c r="C79" s="180">
        <v>2008</v>
      </c>
      <c r="D79" s="181" t="s">
        <v>133</v>
      </c>
      <c r="E79" s="182">
        <v>1520</v>
      </c>
      <c r="F79" s="183" t="s">
        <v>130</v>
      </c>
      <c r="G79" s="184">
        <v>42404</v>
      </c>
      <c r="H79" s="185">
        <f t="shared" si="13"/>
        <v>42404</v>
      </c>
      <c r="I79" s="186">
        <f t="shared" si="14"/>
        <v>42429</v>
      </c>
      <c r="J79" s="187">
        <v>4577</v>
      </c>
      <c r="K79" s="187">
        <v>4577</v>
      </c>
      <c r="L79" s="396">
        <f t="shared" si="15"/>
        <v>0</v>
      </c>
      <c r="M79" s="188">
        <f t="shared" si="16"/>
        <v>0</v>
      </c>
      <c r="N79" s="189" t="b">
        <f t="shared" si="17"/>
        <v>0</v>
      </c>
      <c r="O79" s="189">
        <f t="shared" si="18"/>
        <v>1520</v>
      </c>
      <c r="R79" s="389"/>
    </row>
    <row r="80" spans="1:18" s="16" customFormat="1" ht="11.25">
      <c r="A80" s="172" t="str">
        <f t="shared" si="19"/>
        <v/>
      </c>
      <c r="B80" s="179"/>
      <c r="C80" s="180">
        <v>2013</v>
      </c>
      <c r="D80" s="181" t="s">
        <v>133</v>
      </c>
      <c r="E80" s="182">
        <v>1520</v>
      </c>
      <c r="F80" s="183" t="s">
        <v>130</v>
      </c>
      <c r="G80" s="184">
        <v>41820</v>
      </c>
      <c r="H80" s="185">
        <f t="shared" si="13"/>
        <v>41820</v>
      </c>
      <c r="I80" s="186">
        <f t="shared" si="14"/>
        <v>41820</v>
      </c>
      <c r="J80" s="187">
        <v>4577</v>
      </c>
      <c r="K80" s="187">
        <v>4439.6899999999996</v>
      </c>
      <c r="L80" s="396">
        <f t="shared" si="15"/>
        <v>-137.3100000000004</v>
      </c>
      <c r="M80" s="188">
        <f t="shared" si="16"/>
        <v>3.0927835051546483E-2</v>
      </c>
      <c r="N80" s="189" t="b">
        <f t="shared" si="17"/>
        <v>0</v>
      </c>
      <c r="O80" s="189">
        <f t="shared" si="18"/>
        <v>1520</v>
      </c>
      <c r="R80" s="389"/>
    </row>
    <row r="81" spans="1:18" s="16" customFormat="1" ht="11.25">
      <c r="A81" s="172" t="str">
        <f t="shared" si="19"/>
        <v/>
      </c>
      <c r="B81" s="179"/>
      <c r="C81" s="180">
        <v>2018</v>
      </c>
      <c r="D81" s="181" t="s">
        <v>133</v>
      </c>
      <c r="E81" s="182">
        <v>1520</v>
      </c>
      <c r="F81" s="183" t="s">
        <v>130</v>
      </c>
      <c r="G81" s="184">
        <v>40717</v>
      </c>
      <c r="H81" s="185">
        <f t="shared" si="13"/>
        <v>40717</v>
      </c>
      <c r="I81" s="186">
        <f t="shared" si="14"/>
        <v>40724</v>
      </c>
      <c r="J81" s="187">
        <v>4577</v>
      </c>
      <c r="K81" s="187">
        <v>4302.38</v>
      </c>
      <c r="L81" s="396">
        <f t="shared" si="15"/>
        <v>-274.61999999999989</v>
      </c>
      <c r="M81" s="188">
        <f t="shared" si="16"/>
        <v>6.382978723404252E-2</v>
      </c>
      <c r="N81" s="189" t="b">
        <f t="shared" si="17"/>
        <v>0</v>
      </c>
      <c r="O81" s="189">
        <f t="shared" si="18"/>
        <v>1520</v>
      </c>
      <c r="R81" s="389"/>
    </row>
    <row r="82" spans="1:18" s="16" customFormat="1" ht="11.25">
      <c r="A82" s="172" t="str">
        <f t="shared" si="19"/>
        <v/>
      </c>
      <c r="B82" s="179"/>
      <c r="C82" s="180">
        <v>3003</v>
      </c>
      <c r="D82" s="181" t="s">
        <v>133</v>
      </c>
      <c r="E82" s="182">
        <v>1520</v>
      </c>
      <c r="F82" s="183" t="s">
        <v>130</v>
      </c>
      <c r="G82" s="184">
        <v>41934</v>
      </c>
      <c r="H82" s="185">
        <f t="shared" si="13"/>
        <v>41934</v>
      </c>
      <c r="I82" s="186">
        <f t="shared" si="14"/>
        <v>41943</v>
      </c>
      <c r="J82" s="187">
        <v>4577</v>
      </c>
      <c r="K82" s="187">
        <v>4485.46</v>
      </c>
      <c r="L82" s="396">
        <f t="shared" si="15"/>
        <v>-91.539999999999964</v>
      </c>
      <c r="M82" s="188">
        <f t="shared" si="16"/>
        <v>2.0408163265306114E-2</v>
      </c>
      <c r="N82" s="189" t="b">
        <f t="shared" si="17"/>
        <v>0</v>
      </c>
      <c r="O82" s="189">
        <f t="shared" si="18"/>
        <v>1520</v>
      </c>
      <c r="R82" s="389"/>
    </row>
    <row r="83" spans="1:18" s="16" customFormat="1" ht="11.25">
      <c r="A83" s="172" t="str">
        <f t="shared" si="19"/>
        <v/>
      </c>
      <c r="B83" s="179"/>
      <c r="C83" s="180">
        <v>3008</v>
      </c>
      <c r="D83" s="181" t="s">
        <v>133</v>
      </c>
      <c r="E83" s="182">
        <v>1520</v>
      </c>
      <c r="F83" s="183" t="s">
        <v>130</v>
      </c>
      <c r="G83" s="184">
        <v>41912</v>
      </c>
      <c r="H83" s="185">
        <f t="shared" si="13"/>
        <v>41912</v>
      </c>
      <c r="I83" s="186">
        <f t="shared" si="14"/>
        <v>41912</v>
      </c>
      <c r="J83" s="187">
        <v>4577</v>
      </c>
      <c r="K83" s="187">
        <v>4439.6899999999996</v>
      </c>
      <c r="L83" s="396">
        <f t="shared" si="15"/>
        <v>-137.3100000000004</v>
      </c>
      <c r="M83" s="188">
        <f t="shared" si="16"/>
        <v>3.0927835051546483E-2</v>
      </c>
      <c r="N83" s="189" t="b">
        <f t="shared" si="17"/>
        <v>0</v>
      </c>
      <c r="O83" s="189">
        <f t="shared" si="18"/>
        <v>1520</v>
      </c>
      <c r="R83" s="389"/>
    </row>
    <row r="84" spans="1:18" s="16" customFormat="1" ht="11.25">
      <c r="A84" s="172" t="str">
        <f t="shared" si="19"/>
        <v/>
      </c>
      <c r="B84" s="179"/>
      <c r="C84" s="180">
        <v>3013</v>
      </c>
      <c r="D84" s="181" t="s">
        <v>133</v>
      </c>
      <c r="E84" s="182">
        <v>1520</v>
      </c>
      <c r="F84" s="183" t="s">
        <v>130</v>
      </c>
      <c r="G84" s="184">
        <v>42408</v>
      </c>
      <c r="H84" s="185">
        <f t="shared" si="13"/>
        <v>42408</v>
      </c>
      <c r="I84" s="186">
        <f t="shared" si="14"/>
        <v>42429</v>
      </c>
      <c r="J84" s="187">
        <v>4577</v>
      </c>
      <c r="K84" s="187">
        <v>4256.6100000000006</v>
      </c>
      <c r="L84" s="396">
        <f t="shared" si="15"/>
        <v>-320.38999999999942</v>
      </c>
      <c r="M84" s="188">
        <f t="shared" si="16"/>
        <v>7.5268817204300925E-2</v>
      </c>
      <c r="N84" s="189" t="b">
        <f t="shared" si="17"/>
        <v>0</v>
      </c>
      <c r="O84" s="189">
        <f t="shared" si="18"/>
        <v>1520</v>
      </c>
      <c r="R84" s="389"/>
    </row>
    <row r="85" spans="1:18" s="16" customFormat="1" ht="11.25">
      <c r="A85" s="172" t="str">
        <f t="shared" si="19"/>
        <v/>
      </c>
      <c r="B85" s="179"/>
      <c r="C85" s="180">
        <v>3018</v>
      </c>
      <c r="D85" s="181" t="s">
        <v>133</v>
      </c>
      <c r="E85" s="182">
        <v>1520</v>
      </c>
      <c r="F85" s="183" t="s">
        <v>130</v>
      </c>
      <c r="G85" s="184">
        <v>42185</v>
      </c>
      <c r="H85" s="185">
        <f t="shared" si="13"/>
        <v>42185</v>
      </c>
      <c r="I85" s="186">
        <f t="shared" si="14"/>
        <v>42185</v>
      </c>
      <c r="J85" s="187">
        <v>4577</v>
      </c>
      <c r="K85" s="187">
        <v>4485.46</v>
      </c>
      <c r="L85" s="396">
        <f t="shared" si="15"/>
        <v>-91.539999999999964</v>
      </c>
      <c r="M85" s="188">
        <f t="shared" si="16"/>
        <v>2.0408163265306114E-2</v>
      </c>
      <c r="N85" s="189" t="b">
        <f t="shared" si="17"/>
        <v>0</v>
      </c>
      <c r="O85" s="189">
        <f t="shared" si="18"/>
        <v>1520</v>
      </c>
      <c r="R85" s="389"/>
    </row>
    <row r="86" spans="1:18" s="16" customFormat="1" ht="11.25">
      <c r="A86" s="172" t="str">
        <f t="shared" si="19"/>
        <v/>
      </c>
      <c r="B86" s="179"/>
      <c r="C86" s="180">
        <v>4003</v>
      </c>
      <c r="D86" s="181" t="s">
        <v>133</v>
      </c>
      <c r="E86" s="182">
        <v>1520</v>
      </c>
      <c r="F86" s="183" t="s">
        <v>130</v>
      </c>
      <c r="G86" s="184">
        <v>42129</v>
      </c>
      <c r="H86" s="185">
        <f t="shared" si="13"/>
        <v>42129</v>
      </c>
      <c r="I86" s="186">
        <f t="shared" si="14"/>
        <v>42155</v>
      </c>
      <c r="J86" s="187">
        <v>4577</v>
      </c>
      <c r="K86" s="187">
        <v>4622.7700000000004</v>
      </c>
      <c r="L86" s="396">
        <f t="shared" si="15"/>
        <v>45.770000000000437</v>
      </c>
      <c r="M86" s="188">
        <f t="shared" si="16"/>
        <v>-9.9009900990099948E-3</v>
      </c>
      <c r="N86" s="189" t="b">
        <f t="shared" si="17"/>
        <v>0</v>
      </c>
      <c r="O86" s="189">
        <f t="shared" si="18"/>
        <v>1520</v>
      </c>
      <c r="R86" s="389"/>
    </row>
    <row r="87" spans="1:18" s="16" customFormat="1" ht="11.25">
      <c r="A87" s="172" t="str">
        <f t="shared" si="19"/>
        <v/>
      </c>
      <c r="B87" s="179"/>
      <c r="C87" s="180">
        <v>4008</v>
      </c>
      <c r="D87" s="181" t="s">
        <v>133</v>
      </c>
      <c r="E87" s="182">
        <v>1520</v>
      </c>
      <c r="F87" s="183" t="s">
        <v>130</v>
      </c>
      <c r="G87" s="184">
        <v>41766</v>
      </c>
      <c r="H87" s="185">
        <f t="shared" si="13"/>
        <v>41766</v>
      </c>
      <c r="I87" s="186">
        <f t="shared" si="14"/>
        <v>41790</v>
      </c>
      <c r="J87" s="187">
        <v>4577</v>
      </c>
      <c r="K87" s="187">
        <v>4622.7700000000004</v>
      </c>
      <c r="L87" s="396">
        <f t="shared" si="15"/>
        <v>45.770000000000437</v>
      </c>
      <c r="M87" s="188">
        <f t="shared" si="16"/>
        <v>-9.9009900990099948E-3</v>
      </c>
      <c r="N87" s="189" t="b">
        <f t="shared" si="17"/>
        <v>0</v>
      </c>
      <c r="O87" s="189">
        <f t="shared" si="18"/>
        <v>1520</v>
      </c>
      <c r="R87" s="389"/>
    </row>
    <row r="88" spans="1:18" s="16" customFormat="1" ht="11.25">
      <c r="A88" s="172" t="str">
        <f t="shared" si="19"/>
        <v/>
      </c>
      <c r="B88" s="179"/>
      <c r="C88" s="180">
        <v>4013</v>
      </c>
      <c r="D88" s="181" t="s">
        <v>133</v>
      </c>
      <c r="E88" s="182">
        <v>1520</v>
      </c>
      <c r="F88" s="183" t="s">
        <v>130</v>
      </c>
      <c r="G88" s="184">
        <v>42180</v>
      </c>
      <c r="H88" s="185">
        <f t="shared" si="13"/>
        <v>42180</v>
      </c>
      <c r="I88" s="186">
        <f t="shared" si="14"/>
        <v>42185</v>
      </c>
      <c r="J88" s="187">
        <v>4577</v>
      </c>
      <c r="K88" s="187">
        <v>4210.84</v>
      </c>
      <c r="L88" s="396">
        <f t="shared" si="15"/>
        <v>-366.15999999999985</v>
      </c>
      <c r="M88" s="188">
        <f t="shared" si="16"/>
        <v>8.6956521739130391E-2</v>
      </c>
      <c r="N88" s="189" t="b">
        <f t="shared" si="17"/>
        <v>0</v>
      </c>
      <c r="O88" s="189">
        <f t="shared" si="18"/>
        <v>1520</v>
      </c>
      <c r="R88" s="389"/>
    </row>
    <row r="89" spans="1:18" s="16" customFormat="1" ht="11.25">
      <c r="A89" s="172" t="str">
        <f t="shared" si="19"/>
        <v/>
      </c>
      <c r="B89" s="179"/>
      <c r="C89" s="180">
        <v>4018</v>
      </c>
      <c r="D89" s="181" t="s">
        <v>133</v>
      </c>
      <c r="E89" s="182">
        <v>1520</v>
      </c>
      <c r="F89" s="183" t="s">
        <v>130</v>
      </c>
      <c r="G89" s="184">
        <v>42457</v>
      </c>
      <c r="H89" s="185">
        <f t="shared" si="13"/>
        <v>42457</v>
      </c>
      <c r="I89" s="186">
        <f t="shared" si="14"/>
        <v>42460</v>
      </c>
      <c r="J89" s="187">
        <v>4577</v>
      </c>
      <c r="K89" s="187">
        <v>4531.2299999999996</v>
      </c>
      <c r="L89" s="396">
        <f t="shared" si="15"/>
        <v>-45.770000000000437</v>
      </c>
      <c r="M89" s="188">
        <f t="shared" si="16"/>
        <v>1.0101010101010199E-2</v>
      </c>
      <c r="N89" s="189" t="b">
        <f t="shared" si="17"/>
        <v>0</v>
      </c>
      <c r="O89" s="189">
        <f t="shared" si="18"/>
        <v>1520</v>
      </c>
      <c r="R89" s="389"/>
    </row>
    <row r="90" spans="1:18" s="16" customFormat="1" ht="11.25">
      <c r="A90" s="172" t="str">
        <f t="shared" si="19"/>
        <v/>
      </c>
      <c r="B90" s="179"/>
      <c r="C90" s="180">
        <v>5003</v>
      </c>
      <c r="D90" s="181" t="s">
        <v>133</v>
      </c>
      <c r="E90" s="182">
        <v>1520</v>
      </c>
      <c r="F90" s="183" t="s">
        <v>130</v>
      </c>
      <c r="G90" s="184">
        <v>42114</v>
      </c>
      <c r="H90" s="185">
        <f t="shared" si="13"/>
        <v>42114</v>
      </c>
      <c r="I90" s="186">
        <f t="shared" si="14"/>
        <v>42124</v>
      </c>
      <c r="J90" s="187">
        <v>4577</v>
      </c>
      <c r="K90" s="187">
        <v>4577</v>
      </c>
      <c r="L90" s="396">
        <f t="shared" si="15"/>
        <v>0</v>
      </c>
      <c r="M90" s="188">
        <f t="shared" si="16"/>
        <v>0</v>
      </c>
      <c r="N90" s="189" t="b">
        <f t="shared" si="17"/>
        <v>0</v>
      </c>
      <c r="O90" s="189">
        <f t="shared" si="18"/>
        <v>1520</v>
      </c>
      <c r="R90" s="389"/>
    </row>
    <row r="91" spans="1:18" s="16" customFormat="1" ht="11.25">
      <c r="A91" s="172" t="str">
        <f t="shared" si="19"/>
        <v/>
      </c>
      <c r="B91" s="179"/>
      <c r="C91" s="180">
        <v>5008</v>
      </c>
      <c r="D91" s="181" t="s">
        <v>133</v>
      </c>
      <c r="E91" s="182">
        <v>1520</v>
      </c>
      <c r="F91" s="183" t="s">
        <v>130</v>
      </c>
      <c r="G91" s="184">
        <v>41990</v>
      </c>
      <c r="H91" s="185">
        <f t="shared" si="13"/>
        <v>41990</v>
      </c>
      <c r="I91" s="186">
        <f t="shared" si="14"/>
        <v>42004</v>
      </c>
      <c r="J91" s="187">
        <v>4577</v>
      </c>
      <c r="K91" s="187">
        <v>4302.38</v>
      </c>
      <c r="L91" s="396">
        <f t="shared" si="15"/>
        <v>-274.61999999999989</v>
      </c>
      <c r="M91" s="188">
        <f t="shared" si="16"/>
        <v>6.382978723404252E-2</v>
      </c>
      <c r="N91" s="189" t="b">
        <f t="shared" si="17"/>
        <v>0</v>
      </c>
      <c r="O91" s="189">
        <f t="shared" si="18"/>
        <v>1520</v>
      </c>
      <c r="R91" s="389"/>
    </row>
    <row r="92" spans="1:18" s="16" customFormat="1" ht="11.25">
      <c r="A92" s="172" t="str">
        <f t="shared" si="19"/>
        <v/>
      </c>
      <c r="B92" s="179"/>
      <c r="C92" s="180">
        <v>5013</v>
      </c>
      <c r="D92" s="181" t="s">
        <v>133</v>
      </c>
      <c r="E92" s="182">
        <v>1520</v>
      </c>
      <c r="F92" s="183" t="s">
        <v>130</v>
      </c>
      <c r="G92" s="184">
        <v>42112</v>
      </c>
      <c r="H92" s="185">
        <f t="shared" si="13"/>
        <v>42112</v>
      </c>
      <c r="I92" s="186">
        <f t="shared" si="14"/>
        <v>42124</v>
      </c>
      <c r="J92" s="187">
        <v>4577</v>
      </c>
      <c r="K92" s="187">
        <v>4210.84</v>
      </c>
      <c r="L92" s="396">
        <f t="shared" si="15"/>
        <v>-366.15999999999985</v>
      </c>
      <c r="M92" s="188">
        <f t="shared" si="16"/>
        <v>8.6956521739130391E-2</v>
      </c>
      <c r="N92" s="189" t="b">
        <f t="shared" si="17"/>
        <v>0</v>
      </c>
      <c r="O92" s="189">
        <f t="shared" si="18"/>
        <v>1520</v>
      </c>
      <c r="R92" s="389"/>
    </row>
    <row r="93" spans="1:18" s="16" customFormat="1" ht="11.25">
      <c r="A93" s="172" t="str">
        <f t="shared" si="19"/>
        <v/>
      </c>
      <c r="B93" s="179"/>
      <c r="C93" s="180">
        <v>5018</v>
      </c>
      <c r="D93" s="181" t="s">
        <v>133</v>
      </c>
      <c r="E93" s="182">
        <v>1520</v>
      </c>
      <c r="F93" s="183" t="s">
        <v>130</v>
      </c>
      <c r="G93" s="184">
        <v>41275</v>
      </c>
      <c r="H93" s="185">
        <f t="shared" si="13"/>
        <v>41275</v>
      </c>
      <c r="I93" s="186">
        <f t="shared" si="14"/>
        <v>41305</v>
      </c>
      <c r="J93" s="187">
        <v>4577</v>
      </c>
      <c r="K93" s="187">
        <v>4348.1499999999996</v>
      </c>
      <c r="L93" s="396">
        <f t="shared" si="15"/>
        <v>-228.85000000000036</v>
      </c>
      <c r="M93" s="188">
        <f t="shared" si="16"/>
        <v>5.2631578947368508E-2</v>
      </c>
      <c r="N93" s="189" t="b">
        <f t="shared" si="17"/>
        <v>0</v>
      </c>
      <c r="O93" s="189">
        <f t="shared" si="18"/>
        <v>1520</v>
      </c>
      <c r="R93" s="389"/>
    </row>
    <row r="94" spans="1:18" s="16" customFormat="1" ht="11.25">
      <c r="A94" s="172" t="str">
        <f t="shared" si="19"/>
        <v/>
      </c>
      <c r="B94" s="179"/>
      <c r="C94" s="180">
        <v>6003</v>
      </c>
      <c r="D94" s="181" t="s">
        <v>133</v>
      </c>
      <c r="E94" s="182">
        <v>1520</v>
      </c>
      <c r="F94" s="183" t="s">
        <v>130</v>
      </c>
      <c r="G94" s="184">
        <v>40606</v>
      </c>
      <c r="H94" s="185">
        <f t="shared" si="13"/>
        <v>40606</v>
      </c>
      <c r="I94" s="186">
        <f t="shared" si="14"/>
        <v>40633</v>
      </c>
      <c r="J94" s="187">
        <v>4577</v>
      </c>
      <c r="K94" s="187">
        <v>4256.6100000000006</v>
      </c>
      <c r="L94" s="396">
        <f t="shared" si="15"/>
        <v>-320.38999999999942</v>
      </c>
      <c r="M94" s="188">
        <f t="shared" si="16"/>
        <v>7.5268817204300925E-2</v>
      </c>
      <c r="N94" s="189" t="b">
        <f t="shared" si="17"/>
        <v>0</v>
      </c>
      <c r="O94" s="189">
        <f t="shared" si="18"/>
        <v>1520</v>
      </c>
      <c r="R94" s="389"/>
    </row>
    <row r="95" spans="1:18" s="16" customFormat="1" ht="11.25">
      <c r="A95" s="172" t="str">
        <f t="shared" si="19"/>
        <v/>
      </c>
      <c r="B95" s="179"/>
      <c r="C95" s="180">
        <v>6008</v>
      </c>
      <c r="D95" s="181" t="s">
        <v>133</v>
      </c>
      <c r="E95" s="182">
        <v>1520</v>
      </c>
      <c r="F95" s="183" t="s">
        <v>130</v>
      </c>
      <c r="G95" s="184">
        <v>41275</v>
      </c>
      <c r="H95" s="185">
        <f t="shared" si="13"/>
        <v>41275</v>
      </c>
      <c r="I95" s="186">
        <f t="shared" si="14"/>
        <v>41305</v>
      </c>
      <c r="J95" s="187">
        <v>4577</v>
      </c>
      <c r="K95" s="187">
        <v>4210.84</v>
      </c>
      <c r="L95" s="396">
        <f t="shared" si="15"/>
        <v>-366.15999999999985</v>
      </c>
      <c r="M95" s="188">
        <f t="shared" si="16"/>
        <v>8.6956521739130391E-2</v>
      </c>
      <c r="N95" s="189" t="b">
        <f t="shared" si="17"/>
        <v>0</v>
      </c>
      <c r="O95" s="189">
        <f t="shared" si="18"/>
        <v>1520</v>
      </c>
      <c r="R95" s="389"/>
    </row>
    <row r="96" spans="1:18" s="16" customFormat="1" ht="11.25">
      <c r="A96" s="172" t="str">
        <f t="shared" si="19"/>
        <v/>
      </c>
      <c r="B96" s="179"/>
      <c r="C96" s="180">
        <v>6013</v>
      </c>
      <c r="D96" s="181" t="s">
        <v>133</v>
      </c>
      <c r="E96" s="182">
        <v>1520</v>
      </c>
      <c r="F96" s="183" t="s">
        <v>130</v>
      </c>
      <c r="G96" s="184">
        <v>42381</v>
      </c>
      <c r="H96" s="190">
        <f t="shared" si="13"/>
        <v>42381</v>
      </c>
      <c r="I96" s="186">
        <f t="shared" si="14"/>
        <v>42400</v>
      </c>
      <c r="J96" s="187">
        <v>4577</v>
      </c>
      <c r="K96" s="187">
        <v>4622.7700000000004</v>
      </c>
      <c r="L96" s="396">
        <f t="shared" si="15"/>
        <v>45.770000000000437</v>
      </c>
      <c r="M96" s="188">
        <f t="shared" si="16"/>
        <v>-9.9009900990099948E-3</v>
      </c>
      <c r="N96" s="189" t="b">
        <f t="shared" si="17"/>
        <v>0</v>
      </c>
      <c r="O96" s="189">
        <f t="shared" si="18"/>
        <v>1520</v>
      </c>
      <c r="R96" s="389"/>
    </row>
    <row r="97" spans="1:18" s="16" customFormat="1" ht="11.25">
      <c r="A97" s="172" t="str">
        <f t="shared" si="19"/>
        <v/>
      </c>
      <c r="B97" s="179"/>
      <c r="C97" s="180">
        <v>6018</v>
      </c>
      <c r="D97" s="181" t="s">
        <v>133</v>
      </c>
      <c r="E97" s="182">
        <v>1520</v>
      </c>
      <c r="F97" s="183" t="s">
        <v>130</v>
      </c>
      <c r="G97" s="184">
        <v>41275</v>
      </c>
      <c r="H97" s="185">
        <f t="shared" si="13"/>
        <v>41275</v>
      </c>
      <c r="I97" s="186">
        <f t="shared" si="14"/>
        <v>41305</v>
      </c>
      <c r="J97" s="187">
        <v>4577</v>
      </c>
      <c r="K97" s="187">
        <v>4622.7700000000004</v>
      </c>
      <c r="L97" s="396">
        <f t="shared" si="15"/>
        <v>45.770000000000437</v>
      </c>
      <c r="M97" s="188">
        <f t="shared" si="16"/>
        <v>-9.9009900990099948E-3</v>
      </c>
      <c r="N97" s="189" t="b">
        <f t="shared" si="17"/>
        <v>0</v>
      </c>
      <c r="O97" s="189">
        <f t="shared" si="18"/>
        <v>1520</v>
      </c>
      <c r="R97" s="389"/>
    </row>
    <row r="98" spans="1:18" s="16" customFormat="1" ht="11.25">
      <c r="A98" s="172" t="str">
        <f t="shared" si="19"/>
        <v/>
      </c>
      <c r="B98" s="179"/>
      <c r="C98" s="180">
        <v>7003</v>
      </c>
      <c r="D98" s="181" t="s">
        <v>133</v>
      </c>
      <c r="E98" s="182">
        <v>1520</v>
      </c>
      <c r="F98" s="183" t="s">
        <v>130</v>
      </c>
      <c r="G98" s="184">
        <v>41982</v>
      </c>
      <c r="H98" s="185">
        <f t="shared" si="13"/>
        <v>41982</v>
      </c>
      <c r="I98" s="186">
        <f t="shared" si="14"/>
        <v>42004</v>
      </c>
      <c r="J98" s="187">
        <v>4577</v>
      </c>
      <c r="K98" s="187">
        <v>4256.6100000000006</v>
      </c>
      <c r="L98" s="396">
        <f t="shared" si="15"/>
        <v>-320.38999999999942</v>
      </c>
      <c r="M98" s="188">
        <f t="shared" si="16"/>
        <v>7.5268817204300925E-2</v>
      </c>
      <c r="N98" s="189" t="b">
        <f t="shared" si="17"/>
        <v>0</v>
      </c>
      <c r="O98" s="189">
        <f t="shared" si="18"/>
        <v>1520</v>
      </c>
      <c r="R98" s="389"/>
    </row>
    <row r="99" spans="1:18" s="16" customFormat="1" ht="11.25">
      <c r="A99" s="172" t="str">
        <f t="shared" si="19"/>
        <v/>
      </c>
      <c r="B99" s="179"/>
      <c r="C99" s="180">
        <v>7008</v>
      </c>
      <c r="D99" s="181" t="s">
        <v>133</v>
      </c>
      <c r="E99" s="182">
        <v>1520</v>
      </c>
      <c r="F99" s="183" t="s">
        <v>130</v>
      </c>
      <c r="G99" s="184">
        <v>41121</v>
      </c>
      <c r="H99" s="185">
        <f t="shared" si="13"/>
        <v>41121</v>
      </c>
      <c r="I99" s="186">
        <f t="shared" si="14"/>
        <v>41121</v>
      </c>
      <c r="J99" s="187">
        <v>4577</v>
      </c>
      <c r="K99" s="187">
        <v>4210.84</v>
      </c>
      <c r="L99" s="396">
        <f t="shared" si="15"/>
        <v>-366.15999999999985</v>
      </c>
      <c r="M99" s="188">
        <f t="shared" si="16"/>
        <v>8.6956521739130391E-2</v>
      </c>
      <c r="N99" s="189" t="b">
        <f t="shared" si="17"/>
        <v>0</v>
      </c>
      <c r="O99" s="189">
        <f t="shared" si="18"/>
        <v>1520</v>
      </c>
      <c r="R99" s="389"/>
    </row>
    <row r="100" spans="1:18" s="16" customFormat="1" ht="11.25">
      <c r="A100" s="172" t="str">
        <f t="shared" si="19"/>
        <v/>
      </c>
      <c r="B100" s="179"/>
      <c r="C100" s="180">
        <v>7013</v>
      </c>
      <c r="D100" s="181" t="s">
        <v>133</v>
      </c>
      <c r="E100" s="182">
        <v>1520</v>
      </c>
      <c r="F100" s="183" t="s">
        <v>130</v>
      </c>
      <c r="G100" s="184">
        <v>41289</v>
      </c>
      <c r="H100" s="185">
        <f t="shared" si="13"/>
        <v>41289</v>
      </c>
      <c r="I100" s="186">
        <f t="shared" si="14"/>
        <v>41305</v>
      </c>
      <c r="J100" s="187">
        <v>4577</v>
      </c>
      <c r="K100" s="187">
        <v>4210.84</v>
      </c>
      <c r="L100" s="396">
        <f t="shared" si="15"/>
        <v>-366.15999999999985</v>
      </c>
      <c r="M100" s="188">
        <f t="shared" si="16"/>
        <v>8.6956521739130391E-2</v>
      </c>
      <c r="N100" s="189" t="b">
        <f t="shared" si="17"/>
        <v>0</v>
      </c>
      <c r="O100" s="189">
        <f t="shared" si="18"/>
        <v>1520</v>
      </c>
      <c r="R100" s="389"/>
    </row>
    <row r="101" spans="1:18" s="16" customFormat="1" ht="11.25">
      <c r="A101" s="172" t="str">
        <f t="shared" si="19"/>
        <v/>
      </c>
      <c r="B101" s="179"/>
      <c r="C101" s="180">
        <v>7018</v>
      </c>
      <c r="D101" s="181" t="s">
        <v>133</v>
      </c>
      <c r="E101" s="182">
        <v>1520</v>
      </c>
      <c r="F101" s="183" t="s">
        <v>130</v>
      </c>
      <c r="G101" s="184">
        <v>42324</v>
      </c>
      <c r="H101" s="185">
        <f t="shared" si="13"/>
        <v>42324</v>
      </c>
      <c r="I101" s="186">
        <f t="shared" si="14"/>
        <v>42338</v>
      </c>
      <c r="J101" s="187">
        <v>4577</v>
      </c>
      <c r="K101" s="187">
        <v>4393.92</v>
      </c>
      <c r="L101" s="396">
        <f t="shared" si="15"/>
        <v>-183.07999999999993</v>
      </c>
      <c r="M101" s="188">
        <f t="shared" si="16"/>
        <v>4.166666666666665E-2</v>
      </c>
      <c r="N101" s="189" t="b">
        <f t="shared" si="17"/>
        <v>0</v>
      </c>
      <c r="O101" s="189">
        <f t="shared" si="18"/>
        <v>1520</v>
      </c>
      <c r="R101" s="389"/>
    </row>
    <row r="102" spans="1:18" s="16" customFormat="1" ht="11.25">
      <c r="A102" s="172" t="str">
        <f t="shared" si="19"/>
        <v/>
      </c>
      <c r="B102" s="179"/>
      <c r="C102" s="180">
        <v>8003</v>
      </c>
      <c r="D102" s="181" t="s">
        <v>133</v>
      </c>
      <c r="E102" s="182">
        <v>1520</v>
      </c>
      <c r="F102" s="183" t="s">
        <v>130</v>
      </c>
      <c r="G102" s="184">
        <v>42350</v>
      </c>
      <c r="H102" s="185">
        <f t="shared" si="13"/>
        <v>42350</v>
      </c>
      <c r="I102" s="186">
        <f t="shared" si="14"/>
        <v>42369</v>
      </c>
      <c r="J102" s="187">
        <v>4577</v>
      </c>
      <c r="K102" s="187">
        <v>4531.2299999999996</v>
      </c>
      <c r="L102" s="396">
        <f t="shared" si="15"/>
        <v>-45.770000000000437</v>
      </c>
      <c r="M102" s="188">
        <f t="shared" si="16"/>
        <v>1.0101010101010199E-2</v>
      </c>
      <c r="N102" s="189" t="b">
        <f t="shared" si="17"/>
        <v>0</v>
      </c>
      <c r="O102" s="189">
        <f t="shared" si="18"/>
        <v>1520</v>
      </c>
      <c r="R102" s="389"/>
    </row>
    <row r="103" spans="1:18" s="16" customFormat="1" ht="11.25">
      <c r="A103" s="172" t="str">
        <f t="shared" si="19"/>
        <v/>
      </c>
      <c r="B103" s="179"/>
      <c r="C103" s="180">
        <v>8008</v>
      </c>
      <c r="D103" s="181" t="s">
        <v>133</v>
      </c>
      <c r="E103" s="182">
        <v>1520</v>
      </c>
      <c r="F103" s="183" t="s">
        <v>130</v>
      </c>
      <c r="G103" s="184">
        <v>42059</v>
      </c>
      <c r="H103" s="185">
        <f t="shared" si="13"/>
        <v>42059</v>
      </c>
      <c r="I103" s="186">
        <f t="shared" si="14"/>
        <v>42063</v>
      </c>
      <c r="J103" s="187">
        <v>4577</v>
      </c>
      <c r="K103" s="187">
        <v>4348.1499999999996</v>
      </c>
      <c r="L103" s="396">
        <f t="shared" si="15"/>
        <v>-228.85000000000036</v>
      </c>
      <c r="M103" s="188">
        <f t="shared" si="16"/>
        <v>5.2631578947368508E-2</v>
      </c>
      <c r="N103" s="189" t="b">
        <f t="shared" si="17"/>
        <v>0</v>
      </c>
      <c r="O103" s="189">
        <f t="shared" si="18"/>
        <v>1520</v>
      </c>
      <c r="R103" s="389"/>
    </row>
    <row r="104" spans="1:18" s="16" customFormat="1" ht="11.25">
      <c r="A104" s="172" t="str">
        <f t="shared" si="19"/>
        <v/>
      </c>
      <c r="B104" s="179"/>
      <c r="C104" s="180">
        <v>8013</v>
      </c>
      <c r="D104" s="181" t="s">
        <v>133</v>
      </c>
      <c r="E104" s="182">
        <v>1520</v>
      </c>
      <c r="F104" s="183" t="s">
        <v>130</v>
      </c>
      <c r="G104" s="184">
        <v>42112</v>
      </c>
      <c r="H104" s="185">
        <f t="shared" si="13"/>
        <v>42112</v>
      </c>
      <c r="I104" s="186">
        <f t="shared" si="14"/>
        <v>42124</v>
      </c>
      <c r="J104" s="187">
        <v>4577</v>
      </c>
      <c r="K104" s="187">
        <v>4577</v>
      </c>
      <c r="L104" s="396">
        <f t="shared" si="15"/>
        <v>0</v>
      </c>
      <c r="M104" s="188">
        <f t="shared" si="16"/>
        <v>0</v>
      </c>
      <c r="N104" s="189" t="b">
        <f t="shared" si="17"/>
        <v>0</v>
      </c>
      <c r="O104" s="189">
        <f t="shared" si="18"/>
        <v>1520</v>
      </c>
      <c r="R104" s="389"/>
    </row>
    <row r="105" spans="1:18" s="16" customFormat="1" ht="11.25">
      <c r="A105" s="172" t="str">
        <f t="shared" si="19"/>
        <v/>
      </c>
      <c r="B105" s="179"/>
      <c r="C105" s="180">
        <v>8018</v>
      </c>
      <c r="D105" s="181" t="s">
        <v>133</v>
      </c>
      <c r="E105" s="182">
        <v>1520</v>
      </c>
      <c r="F105" s="183" t="s">
        <v>130</v>
      </c>
      <c r="G105" s="184">
        <v>41575</v>
      </c>
      <c r="H105" s="185">
        <f t="shared" si="13"/>
        <v>41575</v>
      </c>
      <c r="I105" s="186">
        <f t="shared" si="14"/>
        <v>41578</v>
      </c>
      <c r="J105" s="187">
        <v>4577</v>
      </c>
      <c r="K105" s="187">
        <v>4531.2299999999996</v>
      </c>
      <c r="L105" s="396">
        <f t="shared" si="15"/>
        <v>-45.770000000000437</v>
      </c>
      <c r="M105" s="188">
        <f t="shared" si="16"/>
        <v>1.0101010101010199E-2</v>
      </c>
      <c r="N105" s="189" t="b">
        <f t="shared" si="17"/>
        <v>0</v>
      </c>
      <c r="O105" s="189">
        <f t="shared" si="18"/>
        <v>1520</v>
      </c>
      <c r="R105" s="389"/>
    </row>
    <row r="106" spans="1:18" s="16" customFormat="1" ht="11.25">
      <c r="A106" s="172" t="str">
        <f t="shared" si="19"/>
        <v/>
      </c>
      <c r="B106" s="179"/>
      <c r="C106" s="180">
        <v>1004</v>
      </c>
      <c r="D106" s="181" t="s">
        <v>132</v>
      </c>
      <c r="E106" s="182">
        <v>1815</v>
      </c>
      <c r="F106" s="183" t="s">
        <v>130</v>
      </c>
      <c r="G106" s="184">
        <v>41275</v>
      </c>
      <c r="H106" s="185">
        <f t="shared" ref="H106:H137" si="20">G106</f>
        <v>41275</v>
      </c>
      <c r="I106" s="186">
        <f t="shared" ref="I106:I137" si="21">DATE(YEAR(H106),1+MONTH(H106),0)</f>
        <v>41305</v>
      </c>
      <c r="J106" s="187">
        <v>5053</v>
      </c>
      <c r="K106" s="187">
        <v>4749.82</v>
      </c>
      <c r="L106" s="396">
        <f t="shared" ref="L106:L137" si="22">K106-J106</f>
        <v>-303.18000000000029</v>
      </c>
      <c r="M106" s="188">
        <f t="shared" ref="M106:M137" si="23">IF(K106=0,0,(J106-K106)/K106)</f>
        <v>6.3829787234042618E-2</v>
      </c>
      <c r="N106" s="189" t="b">
        <f t="shared" ref="N106:N137" si="24">IF(F106="V",D106)</f>
        <v>0</v>
      </c>
      <c r="O106" s="189">
        <f t="shared" ref="O106:O137" si="25">IF(F106="l",E106,"FALSE")</f>
        <v>1815</v>
      </c>
      <c r="R106" s="389"/>
    </row>
    <row r="107" spans="1:18" s="16" customFormat="1" ht="11.25">
      <c r="A107" s="172" t="str">
        <f t="shared" si="19"/>
        <v/>
      </c>
      <c r="B107" s="179"/>
      <c r="C107" s="180">
        <v>1009</v>
      </c>
      <c r="D107" s="181" t="s">
        <v>132</v>
      </c>
      <c r="E107" s="182">
        <v>1815</v>
      </c>
      <c r="F107" s="183" t="s">
        <v>130</v>
      </c>
      <c r="G107" s="184">
        <v>42160</v>
      </c>
      <c r="H107" s="185">
        <f t="shared" si="20"/>
        <v>42160</v>
      </c>
      <c r="I107" s="186">
        <f t="shared" si="21"/>
        <v>42185</v>
      </c>
      <c r="J107" s="187">
        <v>5053</v>
      </c>
      <c r="K107" s="187">
        <v>4850.88</v>
      </c>
      <c r="L107" s="396">
        <f t="shared" si="22"/>
        <v>-202.11999999999989</v>
      </c>
      <c r="M107" s="188">
        <f t="shared" si="23"/>
        <v>4.1666666666666644E-2</v>
      </c>
      <c r="N107" s="189" t="b">
        <f t="shared" si="24"/>
        <v>0</v>
      </c>
      <c r="O107" s="189">
        <f t="shared" si="25"/>
        <v>1815</v>
      </c>
      <c r="R107" s="389"/>
    </row>
    <row r="108" spans="1:18" s="16" customFormat="1" ht="11.25">
      <c r="A108" s="172" t="str">
        <f t="shared" si="19"/>
        <v/>
      </c>
      <c r="B108" s="179"/>
      <c r="C108" s="180">
        <v>1014</v>
      </c>
      <c r="D108" s="181" t="s">
        <v>132</v>
      </c>
      <c r="E108" s="182">
        <v>1815</v>
      </c>
      <c r="F108" s="183" t="s">
        <v>130</v>
      </c>
      <c r="G108" s="184">
        <v>42067</v>
      </c>
      <c r="H108" s="185">
        <f t="shared" si="20"/>
        <v>42067</v>
      </c>
      <c r="I108" s="186">
        <f t="shared" si="21"/>
        <v>42094</v>
      </c>
      <c r="J108" s="187">
        <v>5053</v>
      </c>
      <c r="K108" s="187">
        <v>4850.88</v>
      </c>
      <c r="L108" s="396">
        <f t="shared" si="22"/>
        <v>-202.11999999999989</v>
      </c>
      <c r="M108" s="188">
        <f t="shared" si="23"/>
        <v>4.1666666666666644E-2</v>
      </c>
      <c r="N108" s="189" t="b">
        <f t="shared" si="24"/>
        <v>0</v>
      </c>
      <c r="O108" s="189">
        <f t="shared" si="25"/>
        <v>1815</v>
      </c>
      <c r="R108" s="389"/>
    </row>
    <row r="109" spans="1:18" s="16" customFormat="1" ht="11.25">
      <c r="A109" s="172" t="str">
        <f t="shared" si="19"/>
        <v/>
      </c>
      <c r="B109" s="179"/>
      <c r="C109" s="180">
        <v>1019</v>
      </c>
      <c r="D109" s="181" t="s">
        <v>132</v>
      </c>
      <c r="E109" s="182">
        <v>1815</v>
      </c>
      <c r="F109" s="183" t="s">
        <v>130</v>
      </c>
      <c r="G109" s="184">
        <v>40844</v>
      </c>
      <c r="H109" s="185">
        <f t="shared" si="20"/>
        <v>40844</v>
      </c>
      <c r="I109" s="186">
        <f t="shared" si="21"/>
        <v>40847</v>
      </c>
      <c r="J109" s="187">
        <v>5053</v>
      </c>
      <c r="K109" s="187">
        <v>4699.29</v>
      </c>
      <c r="L109" s="396">
        <f t="shared" si="22"/>
        <v>-353.71000000000004</v>
      </c>
      <c r="M109" s="188">
        <f t="shared" si="23"/>
        <v>7.5268817204301078E-2</v>
      </c>
      <c r="N109" s="189" t="b">
        <f t="shared" si="24"/>
        <v>0</v>
      </c>
      <c r="O109" s="189">
        <f t="shared" si="25"/>
        <v>1815</v>
      </c>
      <c r="R109" s="389"/>
    </row>
    <row r="110" spans="1:18" s="16" customFormat="1" ht="11.25">
      <c r="A110" s="172" t="str">
        <f t="shared" si="19"/>
        <v/>
      </c>
      <c r="B110" s="179"/>
      <c r="C110" s="180">
        <v>2004</v>
      </c>
      <c r="D110" s="181" t="s">
        <v>132</v>
      </c>
      <c r="E110" s="182">
        <v>1815</v>
      </c>
      <c r="F110" s="183" t="s">
        <v>130</v>
      </c>
      <c r="G110" s="184">
        <v>42350</v>
      </c>
      <c r="H110" s="185">
        <f t="shared" si="20"/>
        <v>42350</v>
      </c>
      <c r="I110" s="186">
        <f t="shared" si="21"/>
        <v>42369</v>
      </c>
      <c r="J110" s="187">
        <v>5053</v>
      </c>
      <c r="K110" s="187">
        <v>5103.53</v>
      </c>
      <c r="L110" s="396">
        <f t="shared" si="22"/>
        <v>50.529999999999745</v>
      </c>
      <c r="M110" s="188">
        <f t="shared" si="23"/>
        <v>-9.9009900990098508E-3</v>
      </c>
      <c r="N110" s="189" t="b">
        <f t="shared" si="24"/>
        <v>0</v>
      </c>
      <c r="O110" s="189">
        <f t="shared" si="25"/>
        <v>1815</v>
      </c>
      <c r="R110" s="389"/>
    </row>
    <row r="111" spans="1:18" s="16" customFormat="1" ht="11.25">
      <c r="A111" s="172" t="str">
        <f t="shared" si="19"/>
        <v/>
      </c>
      <c r="B111" s="179"/>
      <c r="C111" s="180">
        <v>2009</v>
      </c>
      <c r="D111" s="181" t="s">
        <v>132</v>
      </c>
      <c r="E111" s="182">
        <v>1815</v>
      </c>
      <c r="F111" s="183" t="s">
        <v>130</v>
      </c>
      <c r="G111" s="184">
        <v>42429</v>
      </c>
      <c r="H111" s="185">
        <f t="shared" si="20"/>
        <v>42429</v>
      </c>
      <c r="I111" s="186">
        <f t="shared" si="21"/>
        <v>42429</v>
      </c>
      <c r="J111" s="187">
        <v>5053</v>
      </c>
      <c r="K111" s="187">
        <v>5053</v>
      </c>
      <c r="L111" s="396">
        <f t="shared" si="22"/>
        <v>0</v>
      </c>
      <c r="M111" s="188">
        <f t="shared" si="23"/>
        <v>0</v>
      </c>
      <c r="N111" s="189" t="b">
        <f t="shared" si="24"/>
        <v>0</v>
      </c>
      <c r="O111" s="189">
        <f t="shared" si="25"/>
        <v>1815</v>
      </c>
      <c r="R111" s="389"/>
    </row>
    <row r="112" spans="1:18" s="16" customFormat="1" ht="11.25">
      <c r="A112" s="172" t="str">
        <f t="shared" si="19"/>
        <v/>
      </c>
      <c r="B112" s="179"/>
      <c r="C112" s="180">
        <v>2014</v>
      </c>
      <c r="D112" s="181" t="s">
        <v>132</v>
      </c>
      <c r="E112" s="182">
        <v>1815</v>
      </c>
      <c r="F112" s="183" t="s">
        <v>130</v>
      </c>
      <c r="G112" s="184">
        <v>42308</v>
      </c>
      <c r="H112" s="185">
        <f t="shared" si="20"/>
        <v>42308</v>
      </c>
      <c r="I112" s="186">
        <f t="shared" si="21"/>
        <v>42308</v>
      </c>
      <c r="J112" s="187">
        <v>5053</v>
      </c>
      <c r="K112" s="187">
        <v>4901.41</v>
      </c>
      <c r="L112" s="396">
        <f t="shared" si="22"/>
        <v>-151.59000000000015</v>
      </c>
      <c r="M112" s="188">
        <f t="shared" si="23"/>
        <v>3.0927835051546421E-2</v>
      </c>
      <c r="N112" s="189" t="b">
        <f t="shared" si="24"/>
        <v>0</v>
      </c>
      <c r="O112" s="189">
        <f t="shared" si="25"/>
        <v>1815</v>
      </c>
      <c r="R112" s="389"/>
    </row>
    <row r="113" spans="1:18" s="16" customFormat="1" ht="11.25">
      <c r="A113" s="172" t="str">
        <f t="shared" si="19"/>
        <v/>
      </c>
      <c r="B113" s="179"/>
      <c r="C113" s="180">
        <v>2019</v>
      </c>
      <c r="D113" s="181" t="s">
        <v>132</v>
      </c>
      <c r="E113" s="182">
        <v>1815</v>
      </c>
      <c r="F113" s="183" t="s">
        <v>130</v>
      </c>
      <c r="G113" s="184">
        <v>41333</v>
      </c>
      <c r="H113" s="185">
        <f t="shared" si="20"/>
        <v>41333</v>
      </c>
      <c r="I113" s="186">
        <f t="shared" si="21"/>
        <v>41333</v>
      </c>
      <c r="J113" s="187">
        <v>5053</v>
      </c>
      <c r="K113" s="187">
        <v>5103.53</v>
      </c>
      <c r="L113" s="396">
        <f t="shared" si="22"/>
        <v>50.529999999999745</v>
      </c>
      <c r="M113" s="188">
        <f t="shared" si="23"/>
        <v>-9.9009900990098508E-3</v>
      </c>
      <c r="N113" s="189" t="b">
        <f t="shared" si="24"/>
        <v>0</v>
      </c>
      <c r="O113" s="189">
        <f t="shared" si="25"/>
        <v>1815</v>
      </c>
      <c r="R113" s="389"/>
    </row>
    <row r="114" spans="1:18" s="16" customFormat="1" ht="11.25">
      <c r="A114" s="172" t="str">
        <f t="shared" si="19"/>
        <v/>
      </c>
      <c r="B114" s="179"/>
      <c r="C114" s="180">
        <v>3004</v>
      </c>
      <c r="D114" s="181" t="s">
        <v>132</v>
      </c>
      <c r="E114" s="182">
        <v>1815</v>
      </c>
      <c r="F114" s="183" t="s">
        <v>130</v>
      </c>
      <c r="G114" s="184">
        <v>42104</v>
      </c>
      <c r="H114" s="185">
        <f t="shared" si="20"/>
        <v>42104</v>
      </c>
      <c r="I114" s="186">
        <f t="shared" si="21"/>
        <v>42124</v>
      </c>
      <c r="J114" s="187">
        <v>5053</v>
      </c>
      <c r="K114" s="187">
        <v>4648.76</v>
      </c>
      <c r="L114" s="396">
        <f t="shared" si="22"/>
        <v>-404.23999999999978</v>
      </c>
      <c r="M114" s="188">
        <f t="shared" si="23"/>
        <v>8.6956521739130377E-2</v>
      </c>
      <c r="N114" s="189" t="b">
        <f t="shared" si="24"/>
        <v>0</v>
      </c>
      <c r="O114" s="189">
        <f t="shared" si="25"/>
        <v>1815</v>
      </c>
      <c r="R114" s="389"/>
    </row>
    <row r="115" spans="1:18" s="16" customFormat="1" ht="11.25">
      <c r="A115" s="172" t="str">
        <f t="shared" si="19"/>
        <v/>
      </c>
      <c r="B115" s="179"/>
      <c r="C115" s="180">
        <v>3009</v>
      </c>
      <c r="D115" s="181" t="s">
        <v>132</v>
      </c>
      <c r="E115" s="182">
        <v>1815</v>
      </c>
      <c r="F115" s="183" t="s">
        <v>130</v>
      </c>
      <c r="G115" s="184">
        <v>41720</v>
      </c>
      <c r="H115" s="185">
        <f t="shared" si="20"/>
        <v>41720</v>
      </c>
      <c r="I115" s="186">
        <f t="shared" si="21"/>
        <v>41729</v>
      </c>
      <c r="J115" s="187">
        <v>5053</v>
      </c>
      <c r="K115" s="187">
        <v>5002.47</v>
      </c>
      <c r="L115" s="396">
        <f t="shared" si="22"/>
        <v>-50.529999999999745</v>
      </c>
      <c r="M115" s="188">
        <f t="shared" si="23"/>
        <v>1.010101010101005E-2</v>
      </c>
      <c r="N115" s="189" t="b">
        <f t="shared" si="24"/>
        <v>0</v>
      </c>
      <c r="O115" s="189">
        <f t="shared" si="25"/>
        <v>1815</v>
      </c>
      <c r="R115" s="389"/>
    </row>
    <row r="116" spans="1:18" s="16" customFormat="1" ht="11.25">
      <c r="A116" s="172" t="str">
        <f t="shared" si="19"/>
        <v/>
      </c>
      <c r="B116" s="179"/>
      <c r="C116" s="180">
        <v>3014</v>
      </c>
      <c r="D116" s="181" t="s">
        <v>132</v>
      </c>
      <c r="E116" s="182">
        <v>1815</v>
      </c>
      <c r="F116" s="183" t="s">
        <v>130</v>
      </c>
      <c r="G116" s="184">
        <v>41575</v>
      </c>
      <c r="H116" s="185">
        <f t="shared" si="20"/>
        <v>41575</v>
      </c>
      <c r="I116" s="186">
        <f t="shared" si="21"/>
        <v>41578</v>
      </c>
      <c r="J116" s="187">
        <v>5053</v>
      </c>
      <c r="K116" s="187">
        <v>4951.9399999999996</v>
      </c>
      <c r="L116" s="396">
        <f t="shared" si="22"/>
        <v>-101.0600000000004</v>
      </c>
      <c r="M116" s="188">
        <f t="shared" si="23"/>
        <v>2.0408163265306204E-2</v>
      </c>
      <c r="N116" s="189" t="b">
        <f t="shared" si="24"/>
        <v>0</v>
      </c>
      <c r="O116" s="189">
        <f t="shared" si="25"/>
        <v>1815</v>
      </c>
      <c r="R116" s="389"/>
    </row>
    <row r="117" spans="1:18" s="16" customFormat="1" ht="11.25">
      <c r="A117" s="172" t="str">
        <f t="shared" si="19"/>
        <v/>
      </c>
      <c r="B117" s="179"/>
      <c r="C117" s="180">
        <v>3019</v>
      </c>
      <c r="D117" s="181" t="s">
        <v>132</v>
      </c>
      <c r="E117" s="182">
        <v>1815</v>
      </c>
      <c r="F117" s="183" t="s">
        <v>130</v>
      </c>
      <c r="G117" s="184">
        <v>42059</v>
      </c>
      <c r="H117" s="185">
        <f t="shared" si="20"/>
        <v>42059</v>
      </c>
      <c r="I117" s="186">
        <f t="shared" si="21"/>
        <v>42063</v>
      </c>
      <c r="J117" s="187">
        <v>5053</v>
      </c>
      <c r="K117" s="187">
        <v>5002.47</v>
      </c>
      <c r="L117" s="396">
        <f t="shared" si="22"/>
        <v>-50.529999999999745</v>
      </c>
      <c r="M117" s="188">
        <f t="shared" si="23"/>
        <v>1.010101010101005E-2</v>
      </c>
      <c r="N117" s="189" t="b">
        <f t="shared" si="24"/>
        <v>0</v>
      </c>
      <c r="O117" s="189">
        <f t="shared" si="25"/>
        <v>1815</v>
      </c>
      <c r="R117" s="389"/>
    </row>
    <row r="118" spans="1:18" s="16" customFormat="1" ht="11.25">
      <c r="A118" s="172" t="str">
        <f t="shared" si="19"/>
        <v/>
      </c>
      <c r="B118" s="179"/>
      <c r="C118" s="180">
        <v>4004</v>
      </c>
      <c r="D118" s="181" t="s">
        <v>132</v>
      </c>
      <c r="E118" s="182">
        <v>1815</v>
      </c>
      <c r="F118" s="183" t="s">
        <v>130</v>
      </c>
      <c r="G118" s="184">
        <v>41274</v>
      </c>
      <c r="H118" s="185">
        <f t="shared" si="20"/>
        <v>41274</v>
      </c>
      <c r="I118" s="186">
        <f t="shared" si="21"/>
        <v>41274</v>
      </c>
      <c r="J118" s="187">
        <v>5053</v>
      </c>
      <c r="K118" s="187">
        <v>4951.9399999999996</v>
      </c>
      <c r="L118" s="396">
        <f t="shared" si="22"/>
        <v>-101.0600000000004</v>
      </c>
      <c r="M118" s="188">
        <f t="shared" si="23"/>
        <v>2.0408163265306204E-2</v>
      </c>
      <c r="N118" s="189" t="b">
        <f t="shared" si="24"/>
        <v>0</v>
      </c>
      <c r="O118" s="189">
        <f t="shared" si="25"/>
        <v>1815</v>
      </c>
      <c r="R118" s="389"/>
    </row>
    <row r="119" spans="1:18" s="16" customFormat="1" ht="11.25">
      <c r="A119" s="172" t="str">
        <f t="shared" si="19"/>
        <v/>
      </c>
      <c r="B119" s="179"/>
      <c r="C119" s="180">
        <v>4009</v>
      </c>
      <c r="D119" s="181" t="s">
        <v>132</v>
      </c>
      <c r="E119" s="182">
        <v>1815</v>
      </c>
      <c r="F119" s="183" t="s">
        <v>130</v>
      </c>
      <c r="G119" s="184">
        <v>40560</v>
      </c>
      <c r="H119" s="185">
        <f t="shared" si="20"/>
        <v>40560</v>
      </c>
      <c r="I119" s="186">
        <f t="shared" si="21"/>
        <v>40574</v>
      </c>
      <c r="J119" s="187">
        <v>5053</v>
      </c>
      <c r="K119" s="187">
        <v>4901.41</v>
      </c>
      <c r="L119" s="396">
        <f t="shared" si="22"/>
        <v>-151.59000000000015</v>
      </c>
      <c r="M119" s="188">
        <f t="shared" si="23"/>
        <v>3.0927835051546421E-2</v>
      </c>
      <c r="N119" s="189" t="b">
        <f t="shared" si="24"/>
        <v>0</v>
      </c>
      <c r="O119" s="189">
        <f t="shared" si="25"/>
        <v>1815</v>
      </c>
      <c r="R119" s="389"/>
    </row>
    <row r="120" spans="1:18" s="16" customFormat="1" ht="11.25">
      <c r="A120" s="172" t="str">
        <f t="shared" si="19"/>
        <v/>
      </c>
      <c r="B120" s="179"/>
      <c r="C120" s="180">
        <v>4014</v>
      </c>
      <c r="D120" s="181" t="s">
        <v>132</v>
      </c>
      <c r="E120" s="182">
        <v>1815</v>
      </c>
      <c r="F120" s="183" t="s">
        <v>130</v>
      </c>
      <c r="G120" s="184">
        <v>41838</v>
      </c>
      <c r="H120" s="185">
        <f t="shared" si="20"/>
        <v>41838</v>
      </c>
      <c r="I120" s="186">
        <f t="shared" si="21"/>
        <v>41851</v>
      </c>
      <c r="J120" s="187">
        <v>5053</v>
      </c>
      <c r="K120" s="187">
        <v>4648.76</v>
      </c>
      <c r="L120" s="396">
        <f t="shared" si="22"/>
        <v>-404.23999999999978</v>
      </c>
      <c r="M120" s="188">
        <f t="shared" si="23"/>
        <v>8.6956521739130377E-2</v>
      </c>
      <c r="N120" s="189" t="b">
        <f t="shared" si="24"/>
        <v>0</v>
      </c>
      <c r="O120" s="189">
        <f t="shared" si="25"/>
        <v>1815</v>
      </c>
      <c r="R120" s="389"/>
    </row>
    <row r="121" spans="1:18" s="16" customFormat="1" ht="11.25">
      <c r="A121" s="172" t="str">
        <f t="shared" si="19"/>
        <v/>
      </c>
      <c r="B121" s="179"/>
      <c r="C121" s="180">
        <v>4019</v>
      </c>
      <c r="D121" s="181" t="s">
        <v>132</v>
      </c>
      <c r="E121" s="182">
        <v>1815</v>
      </c>
      <c r="F121" s="183" t="s">
        <v>130</v>
      </c>
      <c r="G121" s="184">
        <v>41275</v>
      </c>
      <c r="H121" s="185">
        <f t="shared" si="20"/>
        <v>41275</v>
      </c>
      <c r="I121" s="186">
        <f t="shared" si="21"/>
        <v>41305</v>
      </c>
      <c r="J121" s="187">
        <v>5053</v>
      </c>
      <c r="K121" s="187">
        <v>5002.47</v>
      </c>
      <c r="L121" s="396">
        <f t="shared" si="22"/>
        <v>-50.529999999999745</v>
      </c>
      <c r="M121" s="188">
        <f t="shared" si="23"/>
        <v>1.010101010101005E-2</v>
      </c>
      <c r="N121" s="189" t="b">
        <f t="shared" si="24"/>
        <v>0</v>
      </c>
      <c r="O121" s="189">
        <f t="shared" si="25"/>
        <v>1815</v>
      </c>
      <c r="R121" s="389"/>
    </row>
    <row r="122" spans="1:18" s="16" customFormat="1" ht="11.25">
      <c r="A122" s="172" t="str">
        <f t="shared" si="19"/>
        <v/>
      </c>
      <c r="B122" s="179"/>
      <c r="C122" s="180">
        <v>5004</v>
      </c>
      <c r="D122" s="181" t="s">
        <v>132</v>
      </c>
      <c r="E122" s="182">
        <v>1815</v>
      </c>
      <c r="F122" s="183" t="s">
        <v>130</v>
      </c>
      <c r="G122" s="184">
        <v>42340</v>
      </c>
      <c r="H122" s="185">
        <f t="shared" si="20"/>
        <v>42340</v>
      </c>
      <c r="I122" s="186">
        <f t="shared" si="21"/>
        <v>42369</v>
      </c>
      <c r="J122" s="187">
        <v>5053</v>
      </c>
      <c r="K122" s="187">
        <v>4648.76</v>
      </c>
      <c r="L122" s="396">
        <f t="shared" si="22"/>
        <v>-404.23999999999978</v>
      </c>
      <c r="M122" s="188">
        <f t="shared" si="23"/>
        <v>8.6956521739130377E-2</v>
      </c>
      <c r="N122" s="189" t="b">
        <f t="shared" si="24"/>
        <v>0</v>
      </c>
      <c r="O122" s="189">
        <f t="shared" si="25"/>
        <v>1815</v>
      </c>
      <c r="R122" s="389"/>
    </row>
    <row r="123" spans="1:18" s="16" customFormat="1" ht="11.25">
      <c r="A123" s="172" t="str">
        <f t="shared" si="19"/>
        <v/>
      </c>
      <c r="B123" s="179"/>
      <c r="C123" s="180">
        <v>5009</v>
      </c>
      <c r="D123" s="181" t="s">
        <v>132</v>
      </c>
      <c r="E123" s="182">
        <v>1815</v>
      </c>
      <c r="F123" s="183" t="s">
        <v>130</v>
      </c>
      <c r="G123" s="184">
        <v>41313</v>
      </c>
      <c r="H123" s="185">
        <f t="shared" si="20"/>
        <v>41313</v>
      </c>
      <c r="I123" s="186">
        <f t="shared" si="21"/>
        <v>41333</v>
      </c>
      <c r="J123" s="187">
        <v>5053</v>
      </c>
      <c r="K123" s="187">
        <v>4749.82</v>
      </c>
      <c r="L123" s="396">
        <f t="shared" si="22"/>
        <v>-303.18000000000029</v>
      </c>
      <c r="M123" s="188">
        <f t="shared" si="23"/>
        <v>6.3829787234042618E-2</v>
      </c>
      <c r="N123" s="189" t="b">
        <f t="shared" si="24"/>
        <v>0</v>
      </c>
      <c r="O123" s="189">
        <f t="shared" si="25"/>
        <v>1815</v>
      </c>
      <c r="R123" s="389"/>
    </row>
    <row r="124" spans="1:18" s="16" customFormat="1" ht="11.25">
      <c r="A124" s="172" t="str">
        <f t="shared" si="19"/>
        <v/>
      </c>
      <c r="B124" s="179"/>
      <c r="C124" s="180">
        <v>5014</v>
      </c>
      <c r="D124" s="181" t="s">
        <v>132</v>
      </c>
      <c r="E124" s="182">
        <v>1815</v>
      </c>
      <c r="F124" s="183" t="s">
        <v>130</v>
      </c>
      <c r="G124" s="184">
        <v>42250</v>
      </c>
      <c r="H124" s="185">
        <f t="shared" si="20"/>
        <v>42250</v>
      </c>
      <c r="I124" s="186">
        <f t="shared" si="21"/>
        <v>42277</v>
      </c>
      <c r="J124" s="187">
        <v>5053</v>
      </c>
      <c r="K124" s="187">
        <v>4749.82</v>
      </c>
      <c r="L124" s="396">
        <f t="shared" si="22"/>
        <v>-303.18000000000029</v>
      </c>
      <c r="M124" s="188">
        <f t="shared" si="23"/>
        <v>6.3829787234042618E-2</v>
      </c>
      <c r="N124" s="189" t="b">
        <f t="shared" si="24"/>
        <v>0</v>
      </c>
      <c r="O124" s="189">
        <f t="shared" si="25"/>
        <v>1815</v>
      </c>
      <c r="R124" s="389"/>
    </row>
    <row r="125" spans="1:18" s="16" customFormat="1" ht="11.25">
      <c r="A125" s="172" t="str">
        <f t="shared" si="19"/>
        <v/>
      </c>
      <c r="B125" s="179"/>
      <c r="C125" s="180">
        <v>5019</v>
      </c>
      <c r="D125" s="181" t="s">
        <v>132</v>
      </c>
      <c r="E125" s="182">
        <v>1815</v>
      </c>
      <c r="F125" s="183" t="s">
        <v>130</v>
      </c>
      <c r="G125" s="184">
        <v>42425</v>
      </c>
      <c r="H125" s="185">
        <f t="shared" si="20"/>
        <v>42425</v>
      </c>
      <c r="I125" s="186">
        <f t="shared" si="21"/>
        <v>42429</v>
      </c>
      <c r="J125" s="187">
        <v>5053</v>
      </c>
      <c r="K125" s="187">
        <v>4749.82</v>
      </c>
      <c r="L125" s="396">
        <f t="shared" si="22"/>
        <v>-303.18000000000029</v>
      </c>
      <c r="M125" s="188">
        <f t="shared" si="23"/>
        <v>6.3829787234042618E-2</v>
      </c>
      <c r="N125" s="189" t="b">
        <f t="shared" si="24"/>
        <v>0</v>
      </c>
      <c r="O125" s="189">
        <f t="shared" si="25"/>
        <v>1815</v>
      </c>
      <c r="R125" s="389"/>
    </row>
    <row r="126" spans="1:18" s="16" customFormat="1" ht="11.25">
      <c r="A126" s="172" t="str">
        <f t="shared" si="19"/>
        <v/>
      </c>
      <c r="B126" s="179"/>
      <c r="C126" s="180">
        <v>6004</v>
      </c>
      <c r="D126" s="181" t="s">
        <v>132</v>
      </c>
      <c r="E126" s="182">
        <v>1815</v>
      </c>
      <c r="F126" s="183" t="s">
        <v>130</v>
      </c>
      <c r="G126" s="184">
        <v>42109</v>
      </c>
      <c r="H126" s="185">
        <f t="shared" si="20"/>
        <v>42109</v>
      </c>
      <c r="I126" s="186">
        <f t="shared" si="21"/>
        <v>42124</v>
      </c>
      <c r="J126" s="187">
        <v>5053</v>
      </c>
      <c r="K126" s="187">
        <v>4749.82</v>
      </c>
      <c r="L126" s="396">
        <f t="shared" si="22"/>
        <v>-303.18000000000029</v>
      </c>
      <c r="M126" s="188">
        <f t="shared" si="23"/>
        <v>6.3829787234042618E-2</v>
      </c>
      <c r="N126" s="189" t="b">
        <f t="shared" si="24"/>
        <v>0</v>
      </c>
      <c r="O126" s="189">
        <f t="shared" si="25"/>
        <v>1815</v>
      </c>
      <c r="R126" s="389"/>
    </row>
    <row r="127" spans="1:18" s="16" customFormat="1" ht="11.25">
      <c r="A127" s="172" t="str">
        <f t="shared" si="19"/>
        <v/>
      </c>
      <c r="B127" s="179"/>
      <c r="C127" s="180">
        <v>6009</v>
      </c>
      <c r="D127" s="181" t="s">
        <v>132</v>
      </c>
      <c r="E127" s="182">
        <v>1815</v>
      </c>
      <c r="F127" s="183" t="s">
        <v>130</v>
      </c>
      <c r="G127" s="184">
        <v>41275</v>
      </c>
      <c r="H127" s="185">
        <f t="shared" si="20"/>
        <v>41275</v>
      </c>
      <c r="I127" s="186">
        <f t="shared" si="21"/>
        <v>41305</v>
      </c>
      <c r="J127" s="187">
        <v>5053</v>
      </c>
      <c r="K127" s="187">
        <v>4648.76</v>
      </c>
      <c r="L127" s="396">
        <f t="shared" si="22"/>
        <v>-404.23999999999978</v>
      </c>
      <c r="M127" s="188">
        <f t="shared" si="23"/>
        <v>8.6956521739130377E-2</v>
      </c>
      <c r="N127" s="189" t="b">
        <f t="shared" si="24"/>
        <v>0</v>
      </c>
      <c r="O127" s="189">
        <f t="shared" si="25"/>
        <v>1815</v>
      </c>
      <c r="R127" s="389"/>
    </row>
    <row r="128" spans="1:18" s="16" customFormat="1" ht="11.25">
      <c r="A128" s="172" t="str">
        <f t="shared" si="19"/>
        <v/>
      </c>
      <c r="B128" s="179"/>
      <c r="C128" s="180">
        <v>6014</v>
      </c>
      <c r="D128" s="181" t="s">
        <v>132</v>
      </c>
      <c r="E128" s="182">
        <v>1815</v>
      </c>
      <c r="F128" s="183" t="s">
        <v>134</v>
      </c>
      <c r="G128" s="184"/>
      <c r="H128" s="185">
        <f t="shared" si="20"/>
        <v>0</v>
      </c>
      <c r="I128" s="186">
        <f t="shared" si="21"/>
        <v>31</v>
      </c>
      <c r="J128" s="187">
        <v>5053</v>
      </c>
      <c r="K128" s="187">
        <v>4699.29</v>
      </c>
      <c r="L128" s="396">
        <f t="shared" si="22"/>
        <v>-353.71000000000004</v>
      </c>
      <c r="M128" s="188">
        <f t="shared" si="23"/>
        <v>7.5268817204301078E-2</v>
      </c>
      <c r="N128" s="189" t="str">
        <f t="shared" si="24"/>
        <v>D</v>
      </c>
      <c r="O128" s="189" t="str">
        <f t="shared" si="25"/>
        <v>FALSE</v>
      </c>
      <c r="R128" s="389"/>
    </row>
    <row r="129" spans="1:18" s="16" customFormat="1" ht="11.25">
      <c r="A129" s="172" t="str">
        <f t="shared" si="19"/>
        <v/>
      </c>
      <c r="B129" s="179"/>
      <c r="C129" s="180">
        <v>6019</v>
      </c>
      <c r="D129" s="181" t="s">
        <v>132</v>
      </c>
      <c r="E129" s="182">
        <v>1815</v>
      </c>
      <c r="F129" s="183" t="s">
        <v>130</v>
      </c>
      <c r="G129" s="184">
        <v>42003</v>
      </c>
      <c r="H129" s="185">
        <f t="shared" si="20"/>
        <v>42003</v>
      </c>
      <c r="I129" s="186">
        <f t="shared" si="21"/>
        <v>42004</v>
      </c>
      <c r="J129" s="187">
        <v>5053</v>
      </c>
      <c r="K129" s="187">
        <v>4901.41</v>
      </c>
      <c r="L129" s="396">
        <f t="shared" si="22"/>
        <v>-151.59000000000015</v>
      </c>
      <c r="M129" s="188">
        <f t="shared" si="23"/>
        <v>3.0927835051546421E-2</v>
      </c>
      <c r="N129" s="189" t="b">
        <f t="shared" si="24"/>
        <v>0</v>
      </c>
      <c r="O129" s="189">
        <f t="shared" si="25"/>
        <v>1815</v>
      </c>
      <c r="R129" s="389"/>
    </row>
    <row r="130" spans="1:18" s="16" customFormat="1" ht="11.25">
      <c r="A130" s="172" t="str">
        <f t="shared" si="19"/>
        <v/>
      </c>
      <c r="B130" s="179"/>
      <c r="C130" s="180">
        <v>7004</v>
      </c>
      <c r="D130" s="181" t="s">
        <v>132</v>
      </c>
      <c r="E130" s="182">
        <v>1815</v>
      </c>
      <c r="F130" s="183" t="s">
        <v>134</v>
      </c>
      <c r="G130" s="184"/>
      <c r="H130" s="185">
        <f t="shared" si="20"/>
        <v>0</v>
      </c>
      <c r="I130" s="186">
        <f t="shared" si="21"/>
        <v>31</v>
      </c>
      <c r="J130" s="187">
        <v>5053</v>
      </c>
      <c r="K130" s="187">
        <v>5053</v>
      </c>
      <c r="L130" s="396">
        <f t="shared" si="22"/>
        <v>0</v>
      </c>
      <c r="M130" s="188">
        <f t="shared" si="23"/>
        <v>0</v>
      </c>
      <c r="N130" s="189" t="str">
        <f t="shared" si="24"/>
        <v>D</v>
      </c>
      <c r="O130" s="189" t="str">
        <f t="shared" si="25"/>
        <v>FALSE</v>
      </c>
      <c r="R130" s="389"/>
    </row>
    <row r="131" spans="1:18" s="16" customFormat="1" ht="11.25">
      <c r="A131" s="172" t="str">
        <f t="shared" si="19"/>
        <v/>
      </c>
      <c r="B131" s="179"/>
      <c r="C131" s="180">
        <v>7009</v>
      </c>
      <c r="D131" s="181" t="s">
        <v>132</v>
      </c>
      <c r="E131" s="182">
        <v>1815</v>
      </c>
      <c r="F131" s="183" t="s">
        <v>130</v>
      </c>
      <c r="G131" s="184">
        <v>42186</v>
      </c>
      <c r="H131" s="185">
        <f t="shared" si="20"/>
        <v>42186</v>
      </c>
      <c r="I131" s="186">
        <f t="shared" si="21"/>
        <v>42216</v>
      </c>
      <c r="J131" s="187">
        <v>5053</v>
      </c>
      <c r="K131" s="187">
        <v>4850.88</v>
      </c>
      <c r="L131" s="396">
        <f t="shared" si="22"/>
        <v>-202.11999999999989</v>
      </c>
      <c r="M131" s="188">
        <f t="shared" si="23"/>
        <v>4.1666666666666644E-2</v>
      </c>
      <c r="N131" s="189" t="b">
        <f t="shared" si="24"/>
        <v>0</v>
      </c>
      <c r="O131" s="189">
        <f t="shared" si="25"/>
        <v>1815</v>
      </c>
      <c r="R131" s="389"/>
    </row>
    <row r="132" spans="1:18" s="16" customFormat="1" ht="11.25">
      <c r="A132" s="172" t="str">
        <f t="shared" si="19"/>
        <v/>
      </c>
      <c r="B132" s="179"/>
      <c r="C132" s="180">
        <v>7014</v>
      </c>
      <c r="D132" s="181" t="s">
        <v>132</v>
      </c>
      <c r="E132" s="182">
        <v>1815</v>
      </c>
      <c r="F132" s="183" t="s">
        <v>130</v>
      </c>
      <c r="G132" s="184">
        <v>40894</v>
      </c>
      <c r="H132" s="185">
        <f t="shared" si="20"/>
        <v>40894</v>
      </c>
      <c r="I132" s="186">
        <f t="shared" si="21"/>
        <v>40908</v>
      </c>
      <c r="J132" s="187">
        <v>5053</v>
      </c>
      <c r="K132" s="187">
        <v>4850.88</v>
      </c>
      <c r="L132" s="396">
        <f t="shared" si="22"/>
        <v>-202.11999999999989</v>
      </c>
      <c r="M132" s="188">
        <f t="shared" si="23"/>
        <v>4.1666666666666644E-2</v>
      </c>
      <c r="N132" s="189" t="b">
        <f t="shared" si="24"/>
        <v>0</v>
      </c>
      <c r="O132" s="189">
        <f t="shared" si="25"/>
        <v>1815</v>
      </c>
      <c r="R132" s="389"/>
    </row>
    <row r="133" spans="1:18" s="16" customFormat="1" ht="11.25">
      <c r="A133" s="172" t="str">
        <f t="shared" si="19"/>
        <v/>
      </c>
      <c r="B133" s="179"/>
      <c r="C133" s="180">
        <v>7019</v>
      </c>
      <c r="D133" s="181" t="s">
        <v>132</v>
      </c>
      <c r="E133" s="182">
        <v>1815</v>
      </c>
      <c r="F133" s="183" t="s">
        <v>130</v>
      </c>
      <c r="G133" s="184">
        <v>42327</v>
      </c>
      <c r="H133" s="185">
        <f t="shared" si="20"/>
        <v>42327</v>
      </c>
      <c r="I133" s="186">
        <f t="shared" si="21"/>
        <v>42338</v>
      </c>
      <c r="J133" s="187">
        <v>5053</v>
      </c>
      <c r="K133" s="187">
        <v>4901.41</v>
      </c>
      <c r="L133" s="396">
        <f t="shared" si="22"/>
        <v>-151.59000000000015</v>
      </c>
      <c r="M133" s="188">
        <f t="shared" si="23"/>
        <v>3.0927835051546421E-2</v>
      </c>
      <c r="N133" s="189" t="b">
        <f t="shared" si="24"/>
        <v>0</v>
      </c>
      <c r="O133" s="189">
        <f t="shared" si="25"/>
        <v>1815</v>
      </c>
      <c r="R133" s="389"/>
    </row>
    <row r="134" spans="1:18" s="16" customFormat="1" ht="11.25">
      <c r="A134" s="172" t="str">
        <f t="shared" si="19"/>
        <v/>
      </c>
      <c r="B134" s="179"/>
      <c r="C134" s="180">
        <v>8004</v>
      </c>
      <c r="D134" s="181" t="s">
        <v>132</v>
      </c>
      <c r="E134" s="182">
        <v>1815</v>
      </c>
      <c r="F134" s="183" t="s">
        <v>130</v>
      </c>
      <c r="G134" s="184">
        <v>42366</v>
      </c>
      <c r="H134" s="185">
        <f t="shared" si="20"/>
        <v>42366</v>
      </c>
      <c r="I134" s="186">
        <f t="shared" si="21"/>
        <v>42369</v>
      </c>
      <c r="J134" s="187">
        <v>5053</v>
      </c>
      <c r="K134" s="187">
        <v>4850.88</v>
      </c>
      <c r="L134" s="396">
        <f t="shared" si="22"/>
        <v>-202.11999999999989</v>
      </c>
      <c r="M134" s="188">
        <f t="shared" si="23"/>
        <v>4.1666666666666644E-2</v>
      </c>
      <c r="N134" s="189" t="b">
        <f t="shared" si="24"/>
        <v>0</v>
      </c>
      <c r="O134" s="189">
        <f t="shared" si="25"/>
        <v>1815</v>
      </c>
      <c r="R134" s="389"/>
    </row>
    <row r="135" spans="1:18" s="16" customFormat="1" ht="11.25">
      <c r="A135" s="172" t="str">
        <f t="shared" si="19"/>
        <v/>
      </c>
      <c r="B135" s="179"/>
      <c r="C135" s="180">
        <v>8009</v>
      </c>
      <c r="D135" s="181" t="s">
        <v>132</v>
      </c>
      <c r="E135" s="182">
        <v>1815</v>
      </c>
      <c r="F135" s="183" t="s">
        <v>130</v>
      </c>
      <c r="G135" s="184">
        <v>42067</v>
      </c>
      <c r="H135" s="185">
        <f t="shared" si="20"/>
        <v>42067</v>
      </c>
      <c r="I135" s="186">
        <f t="shared" si="21"/>
        <v>42094</v>
      </c>
      <c r="J135" s="187">
        <v>5053</v>
      </c>
      <c r="K135" s="187">
        <v>4850.88</v>
      </c>
      <c r="L135" s="396">
        <f t="shared" si="22"/>
        <v>-202.11999999999989</v>
      </c>
      <c r="M135" s="188">
        <f t="shared" si="23"/>
        <v>4.1666666666666644E-2</v>
      </c>
      <c r="N135" s="189" t="b">
        <f t="shared" si="24"/>
        <v>0</v>
      </c>
      <c r="O135" s="189">
        <f t="shared" si="25"/>
        <v>1815</v>
      </c>
      <c r="R135" s="389"/>
    </row>
    <row r="136" spans="1:18" s="16" customFormat="1" ht="11.25">
      <c r="A136" s="172" t="str">
        <f t="shared" si="19"/>
        <v/>
      </c>
      <c r="B136" s="179"/>
      <c r="C136" s="180">
        <v>8014</v>
      </c>
      <c r="D136" s="181" t="s">
        <v>132</v>
      </c>
      <c r="E136" s="182">
        <v>1815</v>
      </c>
      <c r="F136" s="183" t="s">
        <v>130</v>
      </c>
      <c r="G136" s="184">
        <v>42114</v>
      </c>
      <c r="H136" s="185">
        <f t="shared" si="20"/>
        <v>42114</v>
      </c>
      <c r="I136" s="186">
        <f t="shared" si="21"/>
        <v>42124</v>
      </c>
      <c r="J136" s="187">
        <v>5053</v>
      </c>
      <c r="K136" s="187">
        <v>4951.9399999999996</v>
      </c>
      <c r="L136" s="396">
        <f t="shared" si="22"/>
        <v>-101.0600000000004</v>
      </c>
      <c r="M136" s="188">
        <f t="shared" si="23"/>
        <v>2.0408163265306204E-2</v>
      </c>
      <c r="N136" s="189" t="b">
        <f t="shared" si="24"/>
        <v>0</v>
      </c>
      <c r="O136" s="189">
        <f t="shared" si="25"/>
        <v>1815</v>
      </c>
      <c r="R136" s="389"/>
    </row>
    <row r="137" spans="1:18" s="16" customFormat="1" ht="11.25">
      <c r="A137" s="172" t="str">
        <f t="shared" si="19"/>
        <v/>
      </c>
      <c r="B137" s="179"/>
      <c r="C137" s="180">
        <v>8019</v>
      </c>
      <c r="D137" s="181" t="s">
        <v>132</v>
      </c>
      <c r="E137" s="182">
        <v>1815</v>
      </c>
      <c r="F137" s="183" t="s">
        <v>130</v>
      </c>
      <c r="G137" s="184">
        <v>41593</v>
      </c>
      <c r="H137" s="185">
        <f t="shared" si="20"/>
        <v>41593</v>
      </c>
      <c r="I137" s="186">
        <f t="shared" si="21"/>
        <v>41608</v>
      </c>
      <c r="J137" s="187">
        <v>5053</v>
      </c>
      <c r="K137" s="187">
        <v>5053</v>
      </c>
      <c r="L137" s="396">
        <f t="shared" si="22"/>
        <v>0</v>
      </c>
      <c r="M137" s="188">
        <f t="shared" si="23"/>
        <v>0</v>
      </c>
      <c r="N137" s="189" t="b">
        <f t="shared" si="24"/>
        <v>0</v>
      </c>
      <c r="O137" s="189">
        <f t="shared" si="25"/>
        <v>1815</v>
      </c>
      <c r="R137" s="389"/>
    </row>
    <row r="138" spans="1:18" s="16" customFormat="1" ht="11.25">
      <c r="A138" s="172" t="str">
        <f t="shared" si="19"/>
        <v/>
      </c>
      <c r="B138" s="179"/>
      <c r="C138" s="180">
        <v>1005</v>
      </c>
      <c r="D138" s="181" t="s">
        <v>107</v>
      </c>
      <c r="E138" s="182">
        <v>1965</v>
      </c>
      <c r="F138" s="183" t="s">
        <v>130</v>
      </c>
      <c r="G138" s="184">
        <v>41275</v>
      </c>
      <c r="H138" s="185">
        <f t="shared" ref="H138:H169" si="26">G138</f>
        <v>41275</v>
      </c>
      <c r="I138" s="186">
        <f t="shared" ref="I138:I169" si="27">DATE(YEAR(H138),1+MONTH(H138),0)</f>
        <v>41305</v>
      </c>
      <c r="J138" s="187">
        <v>5333</v>
      </c>
      <c r="K138" s="187">
        <v>5066.3499999999995</v>
      </c>
      <c r="L138" s="396">
        <f t="shared" ref="L138:L169" si="28">K138-J138</f>
        <v>-266.65000000000055</v>
      </c>
      <c r="M138" s="188">
        <f t="shared" ref="M138:M169" si="29">IF(K138=0,0,(J138-K138)/K138)</f>
        <v>5.2631578947368536E-2</v>
      </c>
      <c r="N138" s="189" t="b">
        <f t="shared" ref="N138:N169" si="30">IF(F138="V",D138)</f>
        <v>0</v>
      </c>
      <c r="O138" s="189">
        <f t="shared" ref="O138:O169" si="31">IF(F138="l",E138,"FALSE")</f>
        <v>1965</v>
      </c>
      <c r="R138" s="389"/>
    </row>
    <row r="139" spans="1:18" s="16" customFormat="1" ht="11.25">
      <c r="A139" s="172" t="str">
        <f t="shared" ref="A139:A196" si="32">IF(C139="","",IF(C139=C140,"A",IF(C139=C138,"B","")))</f>
        <v/>
      </c>
      <c r="B139" s="179"/>
      <c r="C139" s="180">
        <v>1010</v>
      </c>
      <c r="D139" s="181" t="s">
        <v>107</v>
      </c>
      <c r="E139" s="182">
        <v>1965</v>
      </c>
      <c r="F139" s="183" t="s">
        <v>130</v>
      </c>
      <c r="G139" s="184">
        <v>41275</v>
      </c>
      <c r="H139" s="185">
        <f t="shared" si="26"/>
        <v>41275</v>
      </c>
      <c r="I139" s="186">
        <f t="shared" si="27"/>
        <v>41305</v>
      </c>
      <c r="J139" s="187">
        <v>5333</v>
      </c>
      <c r="K139" s="187">
        <v>5013.0199999999995</v>
      </c>
      <c r="L139" s="396">
        <f t="shared" si="28"/>
        <v>-319.98000000000047</v>
      </c>
      <c r="M139" s="188">
        <f t="shared" si="29"/>
        <v>6.3829787234042659E-2</v>
      </c>
      <c r="N139" s="189" t="b">
        <f t="shared" si="30"/>
        <v>0</v>
      </c>
      <c r="O139" s="189">
        <f t="shared" si="31"/>
        <v>1965</v>
      </c>
      <c r="R139" s="389"/>
    </row>
    <row r="140" spans="1:18" s="16" customFormat="1" ht="11.25">
      <c r="A140" s="172" t="str">
        <f t="shared" si="32"/>
        <v/>
      </c>
      <c r="B140" s="179"/>
      <c r="C140" s="180">
        <v>1015</v>
      </c>
      <c r="D140" s="181" t="s">
        <v>107</v>
      </c>
      <c r="E140" s="182">
        <v>1965</v>
      </c>
      <c r="F140" s="183" t="s">
        <v>130</v>
      </c>
      <c r="G140" s="184">
        <v>42466</v>
      </c>
      <c r="H140" s="185">
        <f t="shared" si="26"/>
        <v>42466</v>
      </c>
      <c r="I140" s="186">
        <f t="shared" si="27"/>
        <v>42490</v>
      </c>
      <c r="J140" s="187">
        <v>5333</v>
      </c>
      <c r="K140" s="187">
        <v>5333</v>
      </c>
      <c r="L140" s="396">
        <f t="shared" si="28"/>
        <v>0</v>
      </c>
      <c r="M140" s="188">
        <f t="shared" si="29"/>
        <v>0</v>
      </c>
      <c r="N140" s="189" t="b">
        <f t="shared" si="30"/>
        <v>0</v>
      </c>
      <c r="O140" s="189">
        <f t="shared" si="31"/>
        <v>1965</v>
      </c>
      <c r="R140" s="389"/>
    </row>
    <row r="141" spans="1:18" s="16" customFormat="1" ht="11.25">
      <c r="A141" s="172" t="str">
        <f t="shared" si="32"/>
        <v/>
      </c>
      <c r="B141" s="179"/>
      <c r="C141" s="180">
        <v>1020</v>
      </c>
      <c r="D141" s="181" t="s">
        <v>107</v>
      </c>
      <c r="E141" s="182">
        <v>1965</v>
      </c>
      <c r="F141" s="183" t="s">
        <v>130</v>
      </c>
      <c r="G141" s="184">
        <v>41481</v>
      </c>
      <c r="H141" s="185">
        <f t="shared" si="26"/>
        <v>41481</v>
      </c>
      <c r="I141" s="186">
        <f t="shared" si="27"/>
        <v>41486</v>
      </c>
      <c r="J141" s="187">
        <v>5333</v>
      </c>
      <c r="K141" s="187">
        <v>5119.6799999999994</v>
      </c>
      <c r="L141" s="396">
        <f t="shared" si="28"/>
        <v>-213.32000000000062</v>
      </c>
      <c r="M141" s="188">
        <f t="shared" si="29"/>
        <v>4.1666666666666789E-2</v>
      </c>
      <c r="N141" s="189" t="b">
        <f t="shared" si="30"/>
        <v>0</v>
      </c>
      <c r="O141" s="189">
        <f t="shared" si="31"/>
        <v>1965</v>
      </c>
      <c r="R141" s="389"/>
    </row>
    <row r="142" spans="1:18" s="16" customFormat="1" ht="11.25">
      <c r="A142" s="172" t="str">
        <f t="shared" si="32"/>
        <v/>
      </c>
      <c r="B142" s="179"/>
      <c r="C142" s="180">
        <v>2005</v>
      </c>
      <c r="D142" s="181" t="s">
        <v>107</v>
      </c>
      <c r="E142" s="182">
        <v>1965</v>
      </c>
      <c r="F142" s="183" t="s">
        <v>134</v>
      </c>
      <c r="G142" s="184"/>
      <c r="H142" s="185">
        <f t="shared" si="26"/>
        <v>0</v>
      </c>
      <c r="I142" s="186">
        <f t="shared" si="27"/>
        <v>31</v>
      </c>
      <c r="J142" s="187">
        <v>5333</v>
      </c>
      <c r="K142" s="187">
        <v>4906.3600000000006</v>
      </c>
      <c r="L142" s="396">
        <f t="shared" si="28"/>
        <v>-426.63999999999942</v>
      </c>
      <c r="M142" s="188">
        <f t="shared" si="29"/>
        <v>8.6956521739130307E-2</v>
      </c>
      <c r="N142" s="189" t="str">
        <f t="shared" si="30"/>
        <v>E</v>
      </c>
      <c r="O142" s="189" t="str">
        <f t="shared" si="31"/>
        <v>FALSE</v>
      </c>
      <c r="R142" s="389"/>
    </row>
    <row r="143" spans="1:18" s="16" customFormat="1" ht="11.25">
      <c r="A143" s="172" t="str">
        <f t="shared" si="32"/>
        <v/>
      </c>
      <c r="B143" s="179"/>
      <c r="C143" s="180">
        <v>2010</v>
      </c>
      <c r="D143" s="181" t="s">
        <v>107</v>
      </c>
      <c r="E143" s="182">
        <v>1965</v>
      </c>
      <c r="F143" s="183" t="s">
        <v>130</v>
      </c>
      <c r="G143" s="184">
        <v>40663</v>
      </c>
      <c r="H143" s="185">
        <f t="shared" si="26"/>
        <v>40663</v>
      </c>
      <c r="I143" s="186">
        <f t="shared" si="27"/>
        <v>40663</v>
      </c>
      <c r="J143" s="187">
        <v>5333</v>
      </c>
      <c r="K143" s="187">
        <v>5013.0199999999995</v>
      </c>
      <c r="L143" s="396">
        <f t="shared" si="28"/>
        <v>-319.98000000000047</v>
      </c>
      <c r="M143" s="188">
        <f t="shared" si="29"/>
        <v>6.3829787234042659E-2</v>
      </c>
      <c r="N143" s="189" t="b">
        <f t="shared" si="30"/>
        <v>0</v>
      </c>
      <c r="O143" s="189">
        <f t="shared" si="31"/>
        <v>1965</v>
      </c>
      <c r="R143" s="389"/>
    </row>
    <row r="144" spans="1:18" s="16" customFormat="1" ht="11.25">
      <c r="A144" s="172" t="str">
        <f t="shared" si="32"/>
        <v/>
      </c>
      <c r="B144" s="179"/>
      <c r="C144" s="180">
        <v>2015</v>
      </c>
      <c r="D144" s="181" t="s">
        <v>107</v>
      </c>
      <c r="E144" s="182">
        <v>1965</v>
      </c>
      <c r="F144" s="183" t="s">
        <v>130</v>
      </c>
      <c r="G144" s="184">
        <v>41325</v>
      </c>
      <c r="H144" s="190">
        <f t="shared" si="26"/>
        <v>41325</v>
      </c>
      <c r="I144" s="186">
        <f t="shared" si="27"/>
        <v>41333</v>
      </c>
      <c r="J144" s="187">
        <v>5333</v>
      </c>
      <c r="K144" s="187">
        <v>5226.34</v>
      </c>
      <c r="L144" s="396">
        <f t="shared" si="28"/>
        <v>-106.65999999999985</v>
      </c>
      <c r="M144" s="188">
        <f t="shared" si="29"/>
        <v>2.0408163265306093E-2</v>
      </c>
      <c r="N144" s="189" t="b">
        <f t="shared" si="30"/>
        <v>0</v>
      </c>
      <c r="O144" s="189">
        <f t="shared" si="31"/>
        <v>1965</v>
      </c>
      <c r="R144" s="389"/>
    </row>
    <row r="145" spans="1:18" s="16" customFormat="1" ht="11.25">
      <c r="A145" s="172" t="str">
        <f t="shared" si="32"/>
        <v/>
      </c>
      <c r="B145" s="179"/>
      <c r="C145" s="180">
        <v>2020</v>
      </c>
      <c r="D145" s="181" t="s">
        <v>107</v>
      </c>
      <c r="E145" s="182">
        <v>1965</v>
      </c>
      <c r="F145" s="183" t="s">
        <v>130</v>
      </c>
      <c r="G145" s="184">
        <v>42338</v>
      </c>
      <c r="H145" s="185">
        <f t="shared" si="26"/>
        <v>42338</v>
      </c>
      <c r="I145" s="186">
        <f t="shared" si="27"/>
        <v>42338</v>
      </c>
      <c r="J145" s="187">
        <v>5333</v>
      </c>
      <c r="K145" s="187">
        <v>5226.34</v>
      </c>
      <c r="L145" s="396">
        <f t="shared" si="28"/>
        <v>-106.65999999999985</v>
      </c>
      <c r="M145" s="188">
        <f t="shared" si="29"/>
        <v>2.0408163265306093E-2</v>
      </c>
      <c r="N145" s="189" t="b">
        <f t="shared" si="30"/>
        <v>0</v>
      </c>
      <c r="O145" s="189">
        <f t="shared" si="31"/>
        <v>1965</v>
      </c>
      <c r="R145" s="389"/>
    </row>
    <row r="146" spans="1:18" s="16" customFormat="1" ht="11.25">
      <c r="A146" s="172" t="str">
        <f t="shared" si="32"/>
        <v/>
      </c>
      <c r="B146" s="179"/>
      <c r="C146" s="180">
        <v>3005</v>
      </c>
      <c r="D146" s="181" t="s">
        <v>107</v>
      </c>
      <c r="E146" s="182">
        <v>1965</v>
      </c>
      <c r="F146" s="183" t="s">
        <v>130</v>
      </c>
      <c r="G146" s="184">
        <v>41661</v>
      </c>
      <c r="H146" s="185">
        <f t="shared" si="26"/>
        <v>41661</v>
      </c>
      <c r="I146" s="186">
        <f t="shared" si="27"/>
        <v>41670</v>
      </c>
      <c r="J146" s="187">
        <v>5333</v>
      </c>
      <c r="K146" s="187">
        <v>5333</v>
      </c>
      <c r="L146" s="396">
        <f t="shared" si="28"/>
        <v>0</v>
      </c>
      <c r="M146" s="188">
        <f t="shared" si="29"/>
        <v>0</v>
      </c>
      <c r="N146" s="189" t="b">
        <f t="shared" si="30"/>
        <v>0</v>
      </c>
      <c r="O146" s="189">
        <f t="shared" si="31"/>
        <v>1965</v>
      </c>
      <c r="R146" s="389"/>
    </row>
    <row r="147" spans="1:18" s="16" customFormat="1" ht="11.25">
      <c r="A147" s="172" t="str">
        <f>IF(C147="","",IF(C147=C194,"A",IF(C147=C146,"B","")))</f>
        <v/>
      </c>
      <c r="B147" s="179"/>
      <c r="C147" s="180">
        <v>3010</v>
      </c>
      <c r="D147" s="181" t="s">
        <v>107</v>
      </c>
      <c r="E147" s="182">
        <v>1965</v>
      </c>
      <c r="F147" s="183" t="s">
        <v>130</v>
      </c>
      <c r="G147" s="184">
        <v>41913</v>
      </c>
      <c r="H147" s="185">
        <f t="shared" si="26"/>
        <v>41913</v>
      </c>
      <c r="I147" s="186">
        <f t="shared" si="27"/>
        <v>41943</v>
      </c>
      <c r="J147" s="187">
        <v>5333</v>
      </c>
      <c r="K147" s="187">
        <v>5066.3499999999995</v>
      </c>
      <c r="L147" s="396">
        <f t="shared" si="28"/>
        <v>-266.65000000000055</v>
      </c>
      <c r="M147" s="188">
        <f t="shared" si="29"/>
        <v>5.2631578947368536E-2</v>
      </c>
      <c r="N147" s="189" t="b">
        <f t="shared" si="30"/>
        <v>0</v>
      </c>
      <c r="O147" s="189">
        <f t="shared" si="31"/>
        <v>1965</v>
      </c>
      <c r="R147" s="389"/>
    </row>
    <row r="148" spans="1:18" s="16" customFormat="1" ht="11.25">
      <c r="A148" s="172"/>
      <c r="B148" s="179"/>
      <c r="C148" s="180">
        <v>3015</v>
      </c>
      <c r="D148" s="181" t="s">
        <v>107</v>
      </c>
      <c r="E148" s="182">
        <v>1965</v>
      </c>
      <c r="F148" s="183" t="s">
        <v>130</v>
      </c>
      <c r="G148" s="184">
        <v>42009</v>
      </c>
      <c r="H148" s="185">
        <f t="shared" si="26"/>
        <v>42009</v>
      </c>
      <c r="I148" s="186">
        <f t="shared" si="27"/>
        <v>42035</v>
      </c>
      <c r="J148" s="187">
        <v>5333</v>
      </c>
      <c r="K148" s="187">
        <v>4906.3600000000006</v>
      </c>
      <c r="L148" s="396">
        <f t="shared" si="28"/>
        <v>-426.63999999999942</v>
      </c>
      <c r="M148" s="188">
        <f t="shared" si="29"/>
        <v>8.6956521739130307E-2</v>
      </c>
      <c r="N148" s="189" t="b">
        <f t="shared" si="30"/>
        <v>0</v>
      </c>
      <c r="O148" s="189">
        <f t="shared" si="31"/>
        <v>1965</v>
      </c>
      <c r="R148" s="389"/>
    </row>
    <row r="149" spans="1:18" s="16" customFormat="1" ht="11.25">
      <c r="A149" s="172"/>
      <c r="B149" s="179"/>
      <c r="C149" s="180">
        <v>3020</v>
      </c>
      <c r="D149" s="181" t="s">
        <v>107</v>
      </c>
      <c r="E149" s="182">
        <v>1965</v>
      </c>
      <c r="F149" s="183" t="s">
        <v>130</v>
      </c>
      <c r="G149" s="184">
        <v>42366</v>
      </c>
      <c r="H149" s="185">
        <f t="shared" si="26"/>
        <v>42366</v>
      </c>
      <c r="I149" s="186">
        <f t="shared" si="27"/>
        <v>42369</v>
      </c>
      <c r="J149" s="187">
        <v>5333</v>
      </c>
      <c r="K149" s="187">
        <v>4906.3600000000006</v>
      </c>
      <c r="L149" s="396">
        <f t="shared" si="28"/>
        <v>-426.63999999999942</v>
      </c>
      <c r="M149" s="188">
        <f t="shared" si="29"/>
        <v>8.6956521739130307E-2</v>
      </c>
      <c r="N149" s="189" t="b">
        <f t="shared" si="30"/>
        <v>0</v>
      </c>
      <c r="O149" s="189">
        <f t="shared" si="31"/>
        <v>1965</v>
      </c>
      <c r="R149" s="389"/>
    </row>
    <row r="150" spans="1:18" s="16" customFormat="1" ht="11.25">
      <c r="A150" s="172"/>
      <c r="B150" s="179"/>
      <c r="C150" s="180">
        <v>4005</v>
      </c>
      <c r="D150" s="181" t="s">
        <v>107</v>
      </c>
      <c r="E150" s="182">
        <v>1965</v>
      </c>
      <c r="F150" s="183" t="s">
        <v>130</v>
      </c>
      <c r="G150" s="184">
        <v>40848</v>
      </c>
      <c r="H150" s="185">
        <f t="shared" si="26"/>
        <v>40848</v>
      </c>
      <c r="I150" s="186">
        <f t="shared" si="27"/>
        <v>40877</v>
      </c>
      <c r="J150" s="187">
        <v>5333</v>
      </c>
      <c r="K150" s="187">
        <v>4959.6900000000005</v>
      </c>
      <c r="L150" s="396">
        <f t="shared" si="28"/>
        <v>-373.30999999999949</v>
      </c>
      <c r="M150" s="188">
        <f t="shared" si="29"/>
        <v>7.5268817204300967E-2</v>
      </c>
      <c r="N150" s="189" t="b">
        <f t="shared" si="30"/>
        <v>0</v>
      </c>
      <c r="O150" s="189">
        <f t="shared" si="31"/>
        <v>1965</v>
      </c>
      <c r="R150" s="389"/>
    </row>
    <row r="151" spans="1:18" s="16" customFormat="1" ht="11.25">
      <c r="A151" s="172"/>
      <c r="B151" s="179"/>
      <c r="C151" s="180">
        <v>4010</v>
      </c>
      <c r="D151" s="181" t="s">
        <v>107</v>
      </c>
      <c r="E151" s="182">
        <v>1965</v>
      </c>
      <c r="F151" s="183" t="s">
        <v>130</v>
      </c>
      <c r="G151" s="184">
        <v>41640</v>
      </c>
      <c r="H151" s="185">
        <f t="shared" si="26"/>
        <v>41640</v>
      </c>
      <c r="I151" s="186">
        <f t="shared" si="27"/>
        <v>41670</v>
      </c>
      <c r="J151" s="187">
        <v>5333</v>
      </c>
      <c r="K151" s="187">
        <v>5279.67</v>
      </c>
      <c r="L151" s="396">
        <f t="shared" si="28"/>
        <v>-53.329999999999927</v>
      </c>
      <c r="M151" s="188">
        <f t="shared" si="29"/>
        <v>1.0101010101010086E-2</v>
      </c>
      <c r="N151" s="189" t="b">
        <f t="shared" si="30"/>
        <v>0</v>
      </c>
      <c r="O151" s="189">
        <f t="shared" si="31"/>
        <v>1965</v>
      </c>
      <c r="R151" s="389"/>
    </row>
    <row r="152" spans="1:18" s="16" customFormat="1" ht="11.25">
      <c r="A152" s="172"/>
      <c r="B152" s="179"/>
      <c r="C152" s="180">
        <v>4015</v>
      </c>
      <c r="D152" s="181" t="s">
        <v>107</v>
      </c>
      <c r="E152" s="182">
        <v>1965</v>
      </c>
      <c r="F152" s="183" t="s">
        <v>130</v>
      </c>
      <c r="G152" s="184">
        <v>40805</v>
      </c>
      <c r="H152" s="185">
        <f t="shared" si="26"/>
        <v>40805</v>
      </c>
      <c r="I152" s="186">
        <f t="shared" si="27"/>
        <v>40816</v>
      </c>
      <c r="J152" s="187">
        <v>5333</v>
      </c>
      <c r="K152" s="187">
        <v>5333</v>
      </c>
      <c r="L152" s="396">
        <f t="shared" si="28"/>
        <v>0</v>
      </c>
      <c r="M152" s="188">
        <f t="shared" si="29"/>
        <v>0</v>
      </c>
      <c r="N152" s="189" t="b">
        <f t="shared" si="30"/>
        <v>0</v>
      </c>
      <c r="O152" s="189">
        <f t="shared" si="31"/>
        <v>1965</v>
      </c>
      <c r="R152" s="389"/>
    </row>
    <row r="153" spans="1:18" s="16" customFormat="1" ht="11.25">
      <c r="A153" s="172"/>
      <c r="B153" s="179"/>
      <c r="C153" s="180">
        <v>4020</v>
      </c>
      <c r="D153" s="181" t="s">
        <v>107</v>
      </c>
      <c r="E153" s="182">
        <v>1965</v>
      </c>
      <c r="F153" s="183" t="s">
        <v>130</v>
      </c>
      <c r="G153" s="184">
        <v>41090</v>
      </c>
      <c r="H153" s="185">
        <f t="shared" si="26"/>
        <v>41090</v>
      </c>
      <c r="I153" s="186">
        <f t="shared" si="27"/>
        <v>41090</v>
      </c>
      <c r="J153" s="187">
        <v>5333</v>
      </c>
      <c r="K153" s="187">
        <v>5119.6799999999994</v>
      </c>
      <c r="L153" s="396">
        <f t="shared" si="28"/>
        <v>-213.32000000000062</v>
      </c>
      <c r="M153" s="188">
        <f t="shared" si="29"/>
        <v>4.1666666666666789E-2</v>
      </c>
      <c r="N153" s="189" t="b">
        <f t="shared" si="30"/>
        <v>0</v>
      </c>
      <c r="O153" s="189">
        <f t="shared" si="31"/>
        <v>1965</v>
      </c>
      <c r="R153" s="389"/>
    </row>
    <row r="154" spans="1:18" s="16" customFormat="1" ht="11.25">
      <c r="A154" s="172"/>
      <c r="B154" s="179"/>
      <c r="C154" s="180">
        <v>5005</v>
      </c>
      <c r="D154" s="181" t="s">
        <v>107</v>
      </c>
      <c r="E154" s="182">
        <v>1965</v>
      </c>
      <c r="F154" s="183" t="s">
        <v>130</v>
      </c>
      <c r="G154" s="184">
        <v>41635</v>
      </c>
      <c r="H154" s="185">
        <f t="shared" si="26"/>
        <v>41635</v>
      </c>
      <c r="I154" s="186">
        <f t="shared" si="27"/>
        <v>41639</v>
      </c>
      <c r="J154" s="187">
        <v>5333</v>
      </c>
      <c r="K154" s="187">
        <v>4959.6900000000005</v>
      </c>
      <c r="L154" s="396">
        <f t="shared" si="28"/>
        <v>-373.30999999999949</v>
      </c>
      <c r="M154" s="188">
        <f t="shared" si="29"/>
        <v>7.5268817204300967E-2</v>
      </c>
      <c r="N154" s="189" t="b">
        <f t="shared" si="30"/>
        <v>0</v>
      </c>
      <c r="O154" s="189">
        <f t="shared" si="31"/>
        <v>1965</v>
      </c>
      <c r="R154" s="389"/>
    </row>
    <row r="155" spans="1:18" s="16" customFormat="1" ht="11.25">
      <c r="A155" s="172"/>
      <c r="B155" s="179"/>
      <c r="C155" s="180">
        <v>5010</v>
      </c>
      <c r="D155" s="181" t="s">
        <v>107</v>
      </c>
      <c r="E155" s="182">
        <v>1965</v>
      </c>
      <c r="F155" s="183" t="s">
        <v>130</v>
      </c>
      <c r="G155" s="184">
        <v>42109</v>
      </c>
      <c r="H155" s="185">
        <f t="shared" si="26"/>
        <v>42109</v>
      </c>
      <c r="I155" s="186">
        <f t="shared" si="27"/>
        <v>42124</v>
      </c>
      <c r="J155" s="187">
        <v>5333</v>
      </c>
      <c r="K155" s="187">
        <v>4959.6900000000005</v>
      </c>
      <c r="L155" s="396">
        <f t="shared" si="28"/>
        <v>-373.30999999999949</v>
      </c>
      <c r="M155" s="188">
        <f t="shared" si="29"/>
        <v>7.5268817204300967E-2</v>
      </c>
      <c r="N155" s="189" t="b">
        <f t="shared" si="30"/>
        <v>0</v>
      </c>
      <c r="O155" s="189">
        <f t="shared" si="31"/>
        <v>1965</v>
      </c>
      <c r="R155" s="389"/>
    </row>
    <row r="156" spans="1:18" s="16" customFormat="1" ht="11.25">
      <c r="A156" s="172"/>
      <c r="B156" s="179"/>
      <c r="C156" s="180">
        <v>5015</v>
      </c>
      <c r="D156" s="181" t="s">
        <v>107</v>
      </c>
      <c r="E156" s="182">
        <v>1965</v>
      </c>
      <c r="F156" s="183" t="s">
        <v>130</v>
      </c>
      <c r="G156" s="184">
        <v>41974</v>
      </c>
      <c r="H156" s="185">
        <f t="shared" si="26"/>
        <v>41974</v>
      </c>
      <c r="I156" s="186">
        <f t="shared" si="27"/>
        <v>42004</v>
      </c>
      <c r="J156" s="187">
        <v>5333</v>
      </c>
      <c r="K156" s="187">
        <v>5226.34</v>
      </c>
      <c r="L156" s="396">
        <f t="shared" si="28"/>
        <v>-106.65999999999985</v>
      </c>
      <c r="M156" s="188">
        <f t="shared" si="29"/>
        <v>2.0408163265306093E-2</v>
      </c>
      <c r="N156" s="189" t="b">
        <f t="shared" si="30"/>
        <v>0</v>
      </c>
      <c r="O156" s="189">
        <f t="shared" si="31"/>
        <v>1965</v>
      </c>
      <c r="R156" s="389"/>
    </row>
    <row r="157" spans="1:18" s="16" customFormat="1" ht="11.25">
      <c r="A157" s="172"/>
      <c r="B157" s="179"/>
      <c r="C157" s="180">
        <v>5020</v>
      </c>
      <c r="D157" s="181" t="s">
        <v>107</v>
      </c>
      <c r="E157" s="182">
        <v>1965</v>
      </c>
      <c r="F157" s="183" t="s">
        <v>130</v>
      </c>
      <c r="G157" s="184">
        <v>41257</v>
      </c>
      <c r="H157" s="185">
        <f t="shared" si="26"/>
        <v>41257</v>
      </c>
      <c r="I157" s="186">
        <f t="shared" si="27"/>
        <v>41274</v>
      </c>
      <c r="J157" s="187">
        <v>5333</v>
      </c>
      <c r="K157" s="187">
        <v>5013.0199999999995</v>
      </c>
      <c r="L157" s="396">
        <f t="shared" si="28"/>
        <v>-319.98000000000047</v>
      </c>
      <c r="M157" s="188">
        <f t="shared" si="29"/>
        <v>6.3829787234042659E-2</v>
      </c>
      <c r="N157" s="189" t="b">
        <f t="shared" si="30"/>
        <v>0</v>
      </c>
      <c r="O157" s="189">
        <f t="shared" si="31"/>
        <v>1965</v>
      </c>
      <c r="R157" s="389"/>
    </row>
    <row r="158" spans="1:18" s="16" customFormat="1" ht="11.25">
      <c r="A158" s="172"/>
      <c r="B158" s="179"/>
      <c r="C158" s="180">
        <v>6005</v>
      </c>
      <c r="D158" s="181" t="s">
        <v>107</v>
      </c>
      <c r="E158" s="182">
        <v>1965</v>
      </c>
      <c r="F158" s="183" t="s">
        <v>130</v>
      </c>
      <c r="G158" s="184">
        <v>42289</v>
      </c>
      <c r="H158" s="185">
        <f t="shared" si="26"/>
        <v>42289</v>
      </c>
      <c r="I158" s="186">
        <f t="shared" si="27"/>
        <v>42308</v>
      </c>
      <c r="J158" s="187">
        <v>5333</v>
      </c>
      <c r="K158" s="187">
        <v>5013.0199999999995</v>
      </c>
      <c r="L158" s="396">
        <f t="shared" si="28"/>
        <v>-319.98000000000047</v>
      </c>
      <c r="M158" s="188">
        <f t="shared" si="29"/>
        <v>6.3829787234042659E-2</v>
      </c>
      <c r="N158" s="189" t="b">
        <f t="shared" si="30"/>
        <v>0</v>
      </c>
      <c r="O158" s="189">
        <f t="shared" si="31"/>
        <v>1965</v>
      </c>
      <c r="R158" s="389"/>
    </row>
    <row r="159" spans="1:18" s="16" customFormat="1" ht="11.25">
      <c r="A159" s="172"/>
      <c r="B159" s="179"/>
      <c r="C159" s="180">
        <v>6010</v>
      </c>
      <c r="D159" s="181" t="s">
        <v>107</v>
      </c>
      <c r="E159" s="182">
        <v>1965</v>
      </c>
      <c r="F159" s="183" t="s">
        <v>130</v>
      </c>
      <c r="G159" s="184">
        <v>42149</v>
      </c>
      <c r="H159" s="185">
        <f t="shared" si="26"/>
        <v>42149</v>
      </c>
      <c r="I159" s="186">
        <f t="shared" si="27"/>
        <v>42155</v>
      </c>
      <c r="J159" s="187">
        <v>5333</v>
      </c>
      <c r="K159" s="187">
        <v>5279.67</v>
      </c>
      <c r="L159" s="396">
        <f t="shared" si="28"/>
        <v>-53.329999999999927</v>
      </c>
      <c r="M159" s="188">
        <f t="shared" si="29"/>
        <v>1.0101010101010086E-2</v>
      </c>
      <c r="N159" s="189" t="b">
        <f t="shared" si="30"/>
        <v>0</v>
      </c>
      <c r="O159" s="189">
        <f t="shared" si="31"/>
        <v>1965</v>
      </c>
      <c r="R159" s="389"/>
    </row>
    <row r="160" spans="1:18" s="16" customFormat="1" ht="11.25">
      <c r="A160" s="172"/>
      <c r="B160" s="179"/>
      <c r="C160" s="180">
        <v>6015</v>
      </c>
      <c r="D160" s="181" t="s">
        <v>107</v>
      </c>
      <c r="E160" s="182">
        <v>1965</v>
      </c>
      <c r="F160" s="183" t="s">
        <v>130</v>
      </c>
      <c r="G160" s="184">
        <v>40573</v>
      </c>
      <c r="H160" s="185">
        <f t="shared" si="26"/>
        <v>40573</v>
      </c>
      <c r="I160" s="186">
        <f t="shared" si="27"/>
        <v>40574</v>
      </c>
      <c r="J160" s="187">
        <v>5333</v>
      </c>
      <c r="K160" s="187">
        <v>5119.6799999999994</v>
      </c>
      <c r="L160" s="396">
        <f t="shared" si="28"/>
        <v>-213.32000000000062</v>
      </c>
      <c r="M160" s="188">
        <f t="shared" si="29"/>
        <v>4.1666666666666789E-2</v>
      </c>
      <c r="N160" s="189" t="b">
        <f t="shared" si="30"/>
        <v>0</v>
      </c>
      <c r="O160" s="189">
        <f t="shared" si="31"/>
        <v>1965</v>
      </c>
      <c r="R160" s="389"/>
    </row>
    <row r="161" spans="1:18" s="16" customFormat="1" ht="11.25">
      <c r="A161" s="172"/>
      <c r="B161" s="179"/>
      <c r="C161" s="180">
        <v>6020</v>
      </c>
      <c r="D161" s="181" t="s">
        <v>107</v>
      </c>
      <c r="E161" s="182">
        <v>1965</v>
      </c>
      <c r="F161" s="183" t="s">
        <v>130</v>
      </c>
      <c r="G161" s="184">
        <v>42412</v>
      </c>
      <c r="H161" s="185">
        <f t="shared" si="26"/>
        <v>42412</v>
      </c>
      <c r="I161" s="186">
        <f t="shared" si="27"/>
        <v>42429</v>
      </c>
      <c r="J161" s="187">
        <v>5333</v>
      </c>
      <c r="K161" s="187">
        <v>4906.3600000000006</v>
      </c>
      <c r="L161" s="396">
        <f t="shared" si="28"/>
        <v>-426.63999999999942</v>
      </c>
      <c r="M161" s="188">
        <f t="shared" si="29"/>
        <v>8.6956521739130307E-2</v>
      </c>
      <c r="N161" s="189" t="b">
        <f t="shared" si="30"/>
        <v>0</v>
      </c>
      <c r="O161" s="189">
        <f t="shared" si="31"/>
        <v>1965</v>
      </c>
      <c r="R161" s="389"/>
    </row>
    <row r="162" spans="1:18" s="16" customFormat="1" ht="11.25">
      <c r="A162" s="172"/>
      <c r="B162" s="179"/>
      <c r="C162" s="180">
        <v>7005</v>
      </c>
      <c r="D162" s="181" t="s">
        <v>107</v>
      </c>
      <c r="E162" s="182">
        <v>1965</v>
      </c>
      <c r="F162" s="183" t="s">
        <v>130</v>
      </c>
      <c r="G162" s="184">
        <v>42324</v>
      </c>
      <c r="H162" s="185">
        <f t="shared" si="26"/>
        <v>42324</v>
      </c>
      <c r="I162" s="186">
        <f t="shared" si="27"/>
        <v>42338</v>
      </c>
      <c r="J162" s="187">
        <v>5333</v>
      </c>
      <c r="K162" s="187">
        <v>5226.34</v>
      </c>
      <c r="L162" s="396">
        <f t="shared" si="28"/>
        <v>-106.65999999999985</v>
      </c>
      <c r="M162" s="188">
        <f t="shared" si="29"/>
        <v>2.0408163265306093E-2</v>
      </c>
      <c r="N162" s="189" t="b">
        <f t="shared" si="30"/>
        <v>0</v>
      </c>
      <c r="O162" s="189">
        <f t="shared" si="31"/>
        <v>1965</v>
      </c>
      <c r="R162" s="389"/>
    </row>
    <row r="163" spans="1:18" s="16" customFormat="1" ht="11.25">
      <c r="A163" s="172"/>
      <c r="B163" s="179"/>
      <c r="C163" s="180">
        <v>7010</v>
      </c>
      <c r="D163" s="181" t="s">
        <v>107</v>
      </c>
      <c r="E163" s="182">
        <v>1965</v>
      </c>
      <c r="F163" s="183" t="s">
        <v>130</v>
      </c>
      <c r="G163" s="184">
        <v>42297</v>
      </c>
      <c r="H163" s="185">
        <f t="shared" si="26"/>
        <v>42297</v>
      </c>
      <c r="I163" s="186">
        <f t="shared" si="27"/>
        <v>42308</v>
      </c>
      <c r="J163" s="187">
        <v>5333</v>
      </c>
      <c r="K163" s="187">
        <v>5119.6799999999994</v>
      </c>
      <c r="L163" s="396">
        <f t="shared" si="28"/>
        <v>-213.32000000000062</v>
      </c>
      <c r="M163" s="188">
        <f t="shared" si="29"/>
        <v>4.1666666666666789E-2</v>
      </c>
      <c r="N163" s="189" t="b">
        <f t="shared" si="30"/>
        <v>0</v>
      </c>
      <c r="O163" s="189">
        <f t="shared" si="31"/>
        <v>1965</v>
      </c>
      <c r="R163" s="389"/>
    </row>
    <row r="164" spans="1:18" s="16" customFormat="1" ht="11.25">
      <c r="A164" s="172"/>
      <c r="B164" s="179"/>
      <c r="C164" s="180">
        <v>7015</v>
      </c>
      <c r="D164" s="181" t="s">
        <v>107</v>
      </c>
      <c r="E164" s="182">
        <v>1965</v>
      </c>
      <c r="F164" s="183" t="s">
        <v>130</v>
      </c>
      <c r="G164" s="184">
        <v>41913</v>
      </c>
      <c r="H164" s="185">
        <f t="shared" si="26"/>
        <v>41913</v>
      </c>
      <c r="I164" s="186">
        <f t="shared" si="27"/>
        <v>41943</v>
      </c>
      <c r="J164" s="187">
        <v>5333</v>
      </c>
      <c r="K164" s="187">
        <v>5066.3499999999995</v>
      </c>
      <c r="L164" s="396">
        <f t="shared" si="28"/>
        <v>-266.65000000000055</v>
      </c>
      <c r="M164" s="188">
        <f t="shared" si="29"/>
        <v>5.2631578947368536E-2</v>
      </c>
      <c r="N164" s="189" t="b">
        <f t="shared" si="30"/>
        <v>0</v>
      </c>
      <c r="O164" s="189">
        <f t="shared" si="31"/>
        <v>1965</v>
      </c>
      <c r="R164" s="389"/>
    </row>
    <row r="165" spans="1:18" s="16" customFormat="1" ht="11.25">
      <c r="A165" s="172"/>
      <c r="B165" s="179"/>
      <c r="C165" s="180">
        <v>7020</v>
      </c>
      <c r="D165" s="181" t="s">
        <v>107</v>
      </c>
      <c r="E165" s="182">
        <v>1965</v>
      </c>
      <c r="F165" s="183" t="s">
        <v>130</v>
      </c>
      <c r="G165" s="184">
        <v>42332</v>
      </c>
      <c r="H165" s="185">
        <f t="shared" si="26"/>
        <v>42332</v>
      </c>
      <c r="I165" s="186">
        <f t="shared" si="27"/>
        <v>42338</v>
      </c>
      <c r="J165" s="187">
        <v>5333</v>
      </c>
      <c r="K165" s="187">
        <v>5386.33</v>
      </c>
      <c r="L165" s="396">
        <f t="shared" si="28"/>
        <v>53.329999999999927</v>
      </c>
      <c r="M165" s="188">
        <f t="shared" si="29"/>
        <v>-9.9009900990098872E-3</v>
      </c>
      <c r="N165" s="189" t="b">
        <f t="shared" si="30"/>
        <v>0</v>
      </c>
      <c r="O165" s="189">
        <f t="shared" si="31"/>
        <v>1965</v>
      </c>
      <c r="R165" s="389"/>
    </row>
    <row r="166" spans="1:18" s="16" customFormat="1" ht="11.25">
      <c r="A166" s="172"/>
      <c r="B166" s="179"/>
      <c r="C166" s="180">
        <v>8005</v>
      </c>
      <c r="D166" s="181" t="s">
        <v>107</v>
      </c>
      <c r="E166" s="182">
        <v>1965</v>
      </c>
      <c r="F166" s="183" t="s">
        <v>130</v>
      </c>
      <c r="G166" s="184">
        <v>42374</v>
      </c>
      <c r="H166" s="185">
        <f t="shared" si="26"/>
        <v>42374</v>
      </c>
      <c r="I166" s="186">
        <f t="shared" si="27"/>
        <v>42400</v>
      </c>
      <c r="J166" s="187">
        <v>5333</v>
      </c>
      <c r="K166" s="187">
        <v>5066.3499999999995</v>
      </c>
      <c r="L166" s="396">
        <f t="shared" si="28"/>
        <v>-266.65000000000055</v>
      </c>
      <c r="M166" s="188">
        <f t="shared" si="29"/>
        <v>5.2631578947368536E-2</v>
      </c>
      <c r="N166" s="189" t="b">
        <f t="shared" si="30"/>
        <v>0</v>
      </c>
      <c r="O166" s="189">
        <f t="shared" si="31"/>
        <v>1965</v>
      </c>
      <c r="R166" s="389"/>
    </row>
    <row r="167" spans="1:18" s="16" customFormat="1" ht="11.25">
      <c r="A167" s="172"/>
      <c r="B167" s="179"/>
      <c r="C167" s="180">
        <v>8010</v>
      </c>
      <c r="D167" s="181" t="s">
        <v>107</v>
      </c>
      <c r="E167" s="182">
        <v>1965</v>
      </c>
      <c r="F167" s="183" t="s">
        <v>130</v>
      </c>
      <c r="G167" s="184">
        <v>42104</v>
      </c>
      <c r="H167" s="185">
        <f t="shared" si="26"/>
        <v>42104</v>
      </c>
      <c r="I167" s="186">
        <f t="shared" si="27"/>
        <v>42124</v>
      </c>
      <c r="J167" s="187">
        <v>5333</v>
      </c>
      <c r="K167" s="187">
        <v>5226.34</v>
      </c>
      <c r="L167" s="396">
        <f t="shared" si="28"/>
        <v>-106.65999999999985</v>
      </c>
      <c r="M167" s="188">
        <f t="shared" si="29"/>
        <v>2.0408163265306093E-2</v>
      </c>
      <c r="N167" s="189" t="b">
        <f t="shared" si="30"/>
        <v>0</v>
      </c>
      <c r="O167" s="189">
        <f t="shared" si="31"/>
        <v>1965</v>
      </c>
      <c r="R167" s="389"/>
    </row>
    <row r="168" spans="1:18" s="16" customFormat="1" ht="11.25">
      <c r="A168" s="172"/>
      <c r="B168" s="179"/>
      <c r="C168" s="180">
        <v>8015</v>
      </c>
      <c r="D168" s="181" t="s">
        <v>107</v>
      </c>
      <c r="E168" s="182">
        <v>1965</v>
      </c>
      <c r="F168" s="183" t="s">
        <v>130</v>
      </c>
      <c r="G168" s="184">
        <v>42129</v>
      </c>
      <c r="H168" s="185">
        <f t="shared" si="26"/>
        <v>42129</v>
      </c>
      <c r="I168" s="186">
        <f t="shared" si="27"/>
        <v>42155</v>
      </c>
      <c r="J168" s="187">
        <v>5333</v>
      </c>
      <c r="K168" s="187">
        <v>5013.0199999999995</v>
      </c>
      <c r="L168" s="396">
        <f t="shared" si="28"/>
        <v>-319.98000000000047</v>
      </c>
      <c r="M168" s="188">
        <f t="shared" si="29"/>
        <v>6.3829787234042659E-2</v>
      </c>
      <c r="N168" s="189" t="b">
        <f t="shared" si="30"/>
        <v>0</v>
      </c>
      <c r="O168" s="189">
        <f t="shared" si="31"/>
        <v>1965</v>
      </c>
      <c r="R168" s="389"/>
    </row>
    <row r="169" spans="1:18" s="16" customFormat="1" ht="11.25">
      <c r="A169" s="172"/>
      <c r="B169" s="179"/>
      <c r="C169" s="180">
        <v>8020</v>
      </c>
      <c r="D169" s="181" t="s">
        <v>107</v>
      </c>
      <c r="E169" s="182">
        <v>1965</v>
      </c>
      <c r="F169" s="183" t="s">
        <v>130</v>
      </c>
      <c r="G169" s="184">
        <v>41618</v>
      </c>
      <c r="H169" s="185">
        <f t="shared" si="26"/>
        <v>41618</v>
      </c>
      <c r="I169" s="186">
        <f t="shared" si="27"/>
        <v>41639</v>
      </c>
      <c r="J169" s="187">
        <v>5333</v>
      </c>
      <c r="K169" s="187">
        <v>4906.3600000000006</v>
      </c>
      <c r="L169" s="396">
        <f t="shared" si="28"/>
        <v>-426.63999999999942</v>
      </c>
      <c r="M169" s="188">
        <f t="shared" si="29"/>
        <v>8.6956521739130307E-2</v>
      </c>
      <c r="N169" s="189" t="b">
        <f t="shared" si="30"/>
        <v>0</v>
      </c>
      <c r="O169" s="189">
        <f t="shared" si="31"/>
        <v>1965</v>
      </c>
      <c r="R169" s="389"/>
    </row>
    <row r="170" spans="1:18" s="16" customFormat="1" ht="11.25">
      <c r="A170" s="172"/>
      <c r="B170" s="179"/>
      <c r="C170" s="180"/>
      <c r="D170" s="181"/>
      <c r="E170" s="182"/>
      <c r="F170" s="183"/>
      <c r="G170" s="184"/>
      <c r="H170" s="185">
        <f t="shared" ref="H170:H197" si="33">G170</f>
        <v>0</v>
      </c>
      <c r="I170" s="186">
        <f t="shared" ref="I170:I197" si="34">DATE(YEAR(H170),1+MONTH(H170),0)</f>
        <v>31</v>
      </c>
      <c r="J170" s="187"/>
      <c r="K170" s="187"/>
      <c r="L170" s="396">
        <f t="shared" ref="L170:L197" si="35">K170-J170</f>
        <v>0</v>
      </c>
      <c r="M170" s="188">
        <f t="shared" ref="M170:M197" si="36">IF(K170=0,0,(J170-K170)/K170)</f>
        <v>0</v>
      </c>
      <c r="N170" s="189" t="b">
        <f t="shared" ref="N170:N197" si="37">IF(F170="V",D170)</f>
        <v>0</v>
      </c>
      <c r="O170" s="189" t="str">
        <f t="shared" ref="O170:O197" si="38">IF(F170="l",E170,"FALSE")</f>
        <v>FALSE</v>
      </c>
    </row>
    <row r="171" spans="1:18" s="16" customFormat="1" ht="11.25">
      <c r="A171" s="172"/>
      <c r="B171" s="179"/>
      <c r="C171" s="180"/>
      <c r="D171" s="181"/>
      <c r="E171" s="182"/>
      <c r="F171" s="183"/>
      <c r="G171" s="184"/>
      <c r="H171" s="185">
        <f t="shared" si="33"/>
        <v>0</v>
      </c>
      <c r="I171" s="186">
        <f t="shared" si="34"/>
        <v>31</v>
      </c>
      <c r="J171" s="187"/>
      <c r="K171" s="187"/>
      <c r="L171" s="396">
        <f t="shared" si="35"/>
        <v>0</v>
      </c>
      <c r="M171" s="188">
        <f t="shared" si="36"/>
        <v>0</v>
      </c>
      <c r="N171" s="189" t="b">
        <f t="shared" si="37"/>
        <v>0</v>
      </c>
      <c r="O171" s="189" t="str">
        <f t="shared" si="38"/>
        <v>FALSE</v>
      </c>
    </row>
    <row r="172" spans="1:18" s="16" customFormat="1" ht="11.25">
      <c r="A172" s="172"/>
      <c r="B172" s="179"/>
      <c r="C172" s="180"/>
      <c r="D172" s="181"/>
      <c r="E172" s="182"/>
      <c r="F172" s="183"/>
      <c r="G172" s="184"/>
      <c r="H172" s="185">
        <f t="shared" si="33"/>
        <v>0</v>
      </c>
      <c r="I172" s="186">
        <f t="shared" si="34"/>
        <v>31</v>
      </c>
      <c r="J172" s="187"/>
      <c r="K172" s="187"/>
      <c r="L172" s="396">
        <f t="shared" si="35"/>
        <v>0</v>
      </c>
      <c r="M172" s="188">
        <f t="shared" si="36"/>
        <v>0</v>
      </c>
      <c r="N172" s="189" t="b">
        <f t="shared" si="37"/>
        <v>0</v>
      </c>
      <c r="O172" s="189" t="str">
        <f t="shared" si="38"/>
        <v>FALSE</v>
      </c>
    </row>
    <row r="173" spans="1:18" s="16" customFormat="1" ht="11.25">
      <c r="A173" s="172"/>
      <c r="B173" s="179"/>
      <c r="C173" s="180"/>
      <c r="D173" s="181"/>
      <c r="E173" s="182"/>
      <c r="F173" s="183"/>
      <c r="G173" s="184"/>
      <c r="H173" s="185">
        <f t="shared" si="33"/>
        <v>0</v>
      </c>
      <c r="I173" s="186">
        <f t="shared" si="34"/>
        <v>31</v>
      </c>
      <c r="J173" s="187"/>
      <c r="K173" s="187"/>
      <c r="L173" s="396">
        <f t="shared" si="35"/>
        <v>0</v>
      </c>
      <c r="M173" s="188">
        <f t="shared" si="36"/>
        <v>0</v>
      </c>
      <c r="N173" s="189" t="b">
        <f t="shared" si="37"/>
        <v>0</v>
      </c>
      <c r="O173" s="189" t="str">
        <f t="shared" si="38"/>
        <v>FALSE</v>
      </c>
    </row>
    <row r="174" spans="1:18" s="16" customFormat="1" ht="11.25">
      <c r="A174" s="172"/>
      <c r="B174" s="179"/>
      <c r="C174" s="180"/>
      <c r="D174" s="181"/>
      <c r="E174" s="182"/>
      <c r="F174" s="183"/>
      <c r="G174" s="184"/>
      <c r="H174" s="185">
        <f t="shared" si="33"/>
        <v>0</v>
      </c>
      <c r="I174" s="186">
        <f t="shared" si="34"/>
        <v>31</v>
      </c>
      <c r="J174" s="187"/>
      <c r="K174" s="187"/>
      <c r="L174" s="396">
        <f t="shared" si="35"/>
        <v>0</v>
      </c>
      <c r="M174" s="188">
        <f t="shared" si="36"/>
        <v>0</v>
      </c>
      <c r="N174" s="189" t="b">
        <f t="shared" si="37"/>
        <v>0</v>
      </c>
      <c r="O174" s="189" t="str">
        <f t="shared" si="38"/>
        <v>FALSE</v>
      </c>
    </row>
    <row r="175" spans="1:18" s="16" customFormat="1" ht="11.25">
      <c r="A175" s="172"/>
      <c r="B175" s="179"/>
      <c r="C175" s="180"/>
      <c r="D175" s="181"/>
      <c r="E175" s="182"/>
      <c r="F175" s="183"/>
      <c r="G175" s="184"/>
      <c r="H175" s="185">
        <f t="shared" si="33"/>
        <v>0</v>
      </c>
      <c r="I175" s="186">
        <f t="shared" si="34"/>
        <v>31</v>
      </c>
      <c r="J175" s="187"/>
      <c r="K175" s="187"/>
      <c r="L175" s="396">
        <f t="shared" si="35"/>
        <v>0</v>
      </c>
      <c r="M175" s="188">
        <f t="shared" si="36"/>
        <v>0</v>
      </c>
      <c r="N175" s="189" t="b">
        <f t="shared" si="37"/>
        <v>0</v>
      </c>
      <c r="O175" s="189" t="str">
        <f t="shared" si="38"/>
        <v>FALSE</v>
      </c>
    </row>
    <row r="176" spans="1:18" s="16" customFormat="1" ht="11.25">
      <c r="A176" s="172"/>
      <c r="B176" s="179"/>
      <c r="C176" s="180"/>
      <c r="D176" s="181"/>
      <c r="E176" s="182"/>
      <c r="F176" s="183"/>
      <c r="G176" s="184"/>
      <c r="H176" s="185">
        <f t="shared" si="33"/>
        <v>0</v>
      </c>
      <c r="I176" s="186">
        <f t="shared" si="34"/>
        <v>31</v>
      </c>
      <c r="J176" s="187"/>
      <c r="K176" s="187"/>
      <c r="L176" s="396">
        <f t="shared" si="35"/>
        <v>0</v>
      </c>
      <c r="M176" s="188">
        <f t="shared" si="36"/>
        <v>0</v>
      </c>
      <c r="N176" s="189" t="b">
        <f t="shared" si="37"/>
        <v>0</v>
      </c>
      <c r="O176" s="189" t="str">
        <f t="shared" si="38"/>
        <v>FALSE</v>
      </c>
    </row>
    <row r="177" spans="1:15" s="16" customFormat="1" ht="11.25">
      <c r="A177" s="172"/>
      <c r="B177" s="179"/>
      <c r="C177" s="180"/>
      <c r="D177" s="181"/>
      <c r="E177" s="182"/>
      <c r="F177" s="183"/>
      <c r="G177" s="184"/>
      <c r="H177" s="185">
        <f t="shared" si="33"/>
        <v>0</v>
      </c>
      <c r="I177" s="186">
        <f t="shared" si="34"/>
        <v>31</v>
      </c>
      <c r="J177" s="187"/>
      <c r="K177" s="187"/>
      <c r="L177" s="396">
        <f t="shared" si="35"/>
        <v>0</v>
      </c>
      <c r="M177" s="188">
        <f t="shared" si="36"/>
        <v>0</v>
      </c>
      <c r="N177" s="189" t="b">
        <f t="shared" si="37"/>
        <v>0</v>
      </c>
      <c r="O177" s="189" t="str">
        <f t="shared" si="38"/>
        <v>FALSE</v>
      </c>
    </row>
    <row r="178" spans="1:15" s="16" customFormat="1" ht="11.25">
      <c r="A178" s="172"/>
      <c r="B178" s="179"/>
      <c r="C178" s="180"/>
      <c r="D178" s="181"/>
      <c r="E178" s="182"/>
      <c r="F178" s="183"/>
      <c r="G178" s="184"/>
      <c r="H178" s="185">
        <f t="shared" si="33"/>
        <v>0</v>
      </c>
      <c r="I178" s="186">
        <f t="shared" si="34"/>
        <v>31</v>
      </c>
      <c r="J178" s="187"/>
      <c r="K178" s="187"/>
      <c r="L178" s="396">
        <f t="shared" si="35"/>
        <v>0</v>
      </c>
      <c r="M178" s="188">
        <f t="shared" si="36"/>
        <v>0</v>
      </c>
      <c r="N178" s="189" t="b">
        <f t="shared" si="37"/>
        <v>0</v>
      </c>
      <c r="O178" s="189" t="str">
        <f t="shared" si="38"/>
        <v>FALSE</v>
      </c>
    </row>
    <row r="179" spans="1:15" s="16" customFormat="1" ht="11.25">
      <c r="A179" s="172"/>
      <c r="B179" s="179"/>
      <c r="C179" s="180"/>
      <c r="D179" s="181"/>
      <c r="E179" s="182"/>
      <c r="F179" s="183"/>
      <c r="G179" s="184"/>
      <c r="H179" s="185">
        <f t="shared" si="33"/>
        <v>0</v>
      </c>
      <c r="I179" s="186">
        <f t="shared" si="34"/>
        <v>31</v>
      </c>
      <c r="J179" s="187"/>
      <c r="K179" s="187"/>
      <c r="L179" s="396">
        <f t="shared" si="35"/>
        <v>0</v>
      </c>
      <c r="M179" s="188">
        <f t="shared" si="36"/>
        <v>0</v>
      </c>
      <c r="N179" s="189" t="b">
        <f t="shared" si="37"/>
        <v>0</v>
      </c>
      <c r="O179" s="189" t="str">
        <f t="shared" si="38"/>
        <v>FALSE</v>
      </c>
    </row>
    <row r="180" spans="1:15" s="16" customFormat="1" ht="11.25">
      <c r="A180" s="172"/>
      <c r="B180" s="179"/>
      <c r="C180" s="180"/>
      <c r="D180" s="181"/>
      <c r="E180" s="182"/>
      <c r="F180" s="183"/>
      <c r="G180" s="184"/>
      <c r="H180" s="185">
        <f t="shared" si="33"/>
        <v>0</v>
      </c>
      <c r="I180" s="186">
        <f t="shared" si="34"/>
        <v>31</v>
      </c>
      <c r="J180" s="187"/>
      <c r="K180" s="187"/>
      <c r="L180" s="396">
        <f t="shared" si="35"/>
        <v>0</v>
      </c>
      <c r="M180" s="188">
        <f t="shared" si="36"/>
        <v>0</v>
      </c>
      <c r="N180" s="189" t="b">
        <f t="shared" si="37"/>
        <v>0</v>
      </c>
      <c r="O180" s="189" t="str">
        <f t="shared" si="38"/>
        <v>FALSE</v>
      </c>
    </row>
    <row r="181" spans="1:15" s="16" customFormat="1" ht="11.25">
      <c r="A181" s="172"/>
      <c r="B181" s="179"/>
      <c r="C181" s="180"/>
      <c r="D181" s="181"/>
      <c r="E181" s="182"/>
      <c r="F181" s="183"/>
      <c r="G181" s="184"/>
      <c r="H181" s="185">
        <f t="shared" si="33"/>
        <v>0</v>
      </c>
      <c r="I181" s="186">
        <f t="shared" si="34"/>
        <v>31</v>
      </c>
      <c r="J181" s="187"/>
      <c r="K181" s="187"/>
      <c r="L181" s="396">
        <f t="shared" si="35"/>
        <v>0</v>
      </c>
      <c r="M181" s="188">
        <f t="shared" si="36"/>
        <v>0</v>
      </c>
      <c r="N181" s="189" t="b">
        <f t="shared" si="37"/>
        <v>0</v>
      </c>
      <c r="O181" s="189" t="str">
        <f t="shared" si="38"/>
        <v>FALSE</v>
      </c>
    </row>
    <row r="182" spans="1:15" s="16" customFormat="1" ht="11.25">
      <c r="A182" s="172"/>
      <c r="B182" s="179"/>
      <c r="C182" s="180"/>
      <c r="D182" s="181"/>
      <c r="E182" s="182"/>
      <c r="F182" s="183"/>
      <c r="G182" s="184"/>
      <c r="H182" s="185">
        <f t="shared" si="33"/>
        <v>0</v>
      </c>
      <c r="I182" s="186">
        <f t="shared" si="34"/>
        <v>31</v>
      </c>
      <c r="J182" s="187"/>
      <c r="K182" s="187"/>
      <c r="L182" s="396">
        <f t="shared" si="35"/>
        <v>0</v>
      </c>
      <c r="M182" s="188">
        <f t="shared" si="36"/>
        <v>0</v>
      </c>
      <c r="N182" s="189" t="b">
        <f t="shared" si="37"/>
        <v>0</v>
      </c>
      <c r="O182" s="189" t="str">
        <f t="shared" si="38"/>
        <v>FALSE</v>
      </c>
    </row>
    <row r="183" spans="1:15" s="16" customFormat="1" ht="11.25">
      <c r="A183" s="172"/>
      <c r="B183" s="179"/>
      <c r="C183" s="180"/>
      <c r="D183" s="181"/>
      <c r="E183" s="182"/>
      <c r="F183" s="183"/>
      <c r="G183" s="184"/>
      <c r="H183" s="185">
        <f t="shared" si="33"/>
        <v>0</v>
      </c>
      <c r="I183" s="186">
        <f t="shared" si="34"/>
        <v>31</v>
      </c>
      <c r="J183" s="187"/>
      <c r="K183" s="187"/>
      <c r="L183" s="396">
        <f t="shared" si="35"/>
        <v>0</v>
      </c>
      <c r="M183" s="188">
        <f t="shared" si="36"/>
        <v>0</v>
      </c>
      <c r="N183" s="189" t="b">
        <f t="shared" si="37"/>
        <v>0</v>
      </c>
      <c r="O183" s="189" t="str">
        <f t="shared" si="38"/>
        <v>FALSE</v>
      </c>
    </row>
    <row r="184" spans="1:15" s="16" customFormat="1" ht="11.25">
      <c r="A184" s="172"/>
      <c r="B184" s="179"/>
      <c r="C184" s="180"/>
      <c r="D184" s="181"/>
      <c r="E184" s="182"/>
      <c r="F184" s="183"/>
      <c r="G184" s="184"/>
      <c r="H184" s="185">
        <f t="shared" si="33"/>
        <v>0</v>
      </c>
      <c r="I184" s="186">
        <f t="shared" si="34"/>
        <v>31</v>
      </c>
      <c r="J184" s="187"/>
      <c r="K184" s="187"/>
      <c r="L184" s="396">
        <f t="shared" si="35"/>
        <v>0</v>
      </c>
      <c r="M184" s="188">
        <f t="shared" si="36"/>
        <v>0</v>
      </c>
      <c r="N184" s="189" t="b">
        <f t="shared" si="37"/>
        <v>0</v>
      </c>
      <c r="O184" s="189" t="str">
        <f t="shared" si="38"/>
        <v>FALSE</v>
      </c>
    </row>
    <row r="185" spans="1:15" s="16" customFormat="1" ht="11.25">
      <c r="A185" s="172"/>
      <c r="B185" s="179"/>
      <c r="C185" s="180"/>
      <c r="D185" s="181"/>
      <c r="E185" s="182"/>
      <c r="F185" s="183"/>
      <c r="G185" s="184"/>
      <c r="H185" s="185">
        <f t="shared" si="33"/>
        <v>0</v>
      </c>
      <c r="I185" s="186">
        <f t="shared" si="34"/>
        <v>31</v>
      </c>
      <c r="J185" s="187"/>
      <c r="K185" s="187"/>
      <c r="L185" s="396">
        <f t="shared" si="35"/>
        <v>0</v>
      </c>
      <c r="M185" s="188">
        <f t="shared" si="36"/>
        <v>0</v>
      </c>
      <c r="N185" s="189" t="b">
        <f t="shared" si="37"/>
        <v>0</v>
      </c>
      <c r="O185" s="189" t="str">
        <f t="shared" si="38"/>
        <v>FALSE</v>
      </c>
    </row>
    <row r="186" spans="1:15" s="16" customFormat="1" ht="11.25">
      <c r="A186" s="172"/>
      <c r="B186" s="179"/>
      <c r="C186" s="180"/>
      <c r="D186" s="181"/>
      <c r="E186" s="182"/>
      <c r="F186" s="183"/>
      <c r="G186" s="184"/>
      <c r="H186" s="185">
        <f t="shared" si="33"/>
        <v>0</v>
      </c>
      <c r="I186" s="186">
        <f t="shared" si="34"/>
        <v>31</v>
      </c>
      <c r="J186" s="187"/>
      <c r="K186" s="187"/>
      <c r="L186" s="396">
        <f t="shared" si="35"/>
        <v>0</v>
      </c>
      <c r="M186" s="188">
        <f t="shared" si="36"/>
        <v>0</v>
      </c>
      <c r="N186" s="189" t="b">
        <f t="shared" si="37"/>
        <v>0</v>
      </c>
      <c r="O186" s="189" t="str">
        <f t="shared" si="38"/>
        <v>FALSE</v>
      </c>
    </row>
    <row r="187" spans="1:15" s="16" customFormat="1" ht="11.25">
      <c r="A187" s="172"/>
      <c r="B187" s="179"/>
      <c r="C187" s="180"/>
      <c r="D187" s="181"/>
      <c r="E187" s="182"/>
      <c r="F187" s="183"/>
      <c r="G187" s="184"/>
      <c r="H187" s="185">
        <f t="shared" si="33"/>
        <v>0</v>
      </c>
      <c r="I187" s="186">
        <f t="shared" si="34"/>
        <v>31</v>
      </c>
      <c r="J187" s="187"/>
      <c r="K187" s="187"/>
      <c r="L187" s="396">
        <f t="shared" si="35"/>
        <v>0</v>
      </c>
      <c r="M187" s="188">
        <f t="shared" si="36"/>
        <v>0</v>
      </c>
      <c r="N187" s="189" t="b">
        <f t="shared" si="37"/>
        <v>0</v>
      </c>
      <c r="O187" s="189" t="str">
        <f t="shared" si="38"/>
        <v>FALSE</v>
      </c>
    </row>
    <row r="188" spans="1:15" s="16" customFormat="1" ht="11.25">
      <c r="A188" s="172"/>
      <c r="B188" s="179"/>
      <c r="C188" s="180"/>
      <c r="D188" s="181"/>
      <c r="E188" s="182"/>
      <c r="F188" s="183"/>
      <c r="G188" s="184"/>
      <c r="H188" s="185">
        <f t="shared" si="33"/>
        <v>0</v>
      </c>
      <c r="I188" s="186">
        <f t="shared" si="34"/>
        <v>31</v>
      </c>
      <c r="J188" s="187"/>
      <c r="K188" s="187"/>
      <c r="L188" s="396">
        <f t="shared" si="35"/>
        <v>0</v>
      </c>
      <c r="M188" s="188">
        <f t="shared" si="36"/>
        <v>0</v>
      </c>
      <c r="N188" s="189" t="b">
        <f t="shared" si="37"/>
        <v>0</v>
      </c>
      <c r="O188" s="189" t="str">
        <f t="shared" si="38"/>
        <v>FALSE</v>
      </c>
    </row>
    <row r="189" spans="1:15" s="16" customFormat="1" ht="11.25">
      <c r="A189" s="172"/>
      <c r="B189" s="179"/>
      <c r="C189" s="180"/>
      <c r="D189" s="181"/>
      <c r="E189" s="182"/>
      <c r="F189" s="183"/>
      <c r="G189" s="184"/>
      <c r="H189" s="185">
        <f t="shared" si="33"/>
        <v>0</v>
      </c>
      <c r="I189" s="186">
        <f t="shared" si="34"/>
        <v>31</v>
      </c>
      <c r="J189" s="187"/>
      <c r="K189" s="187"/>
      <c r="L189" s="396">
        <f t="shared" si="35"/>
        <v>0</v>
      </c>
      <c r="M189" s="188">
        <f t="shared" si="36"/>
        <v>0</v>
      </c>
      <c r="N189" s="189" t="b">
        <f t="shared" si="37"/>
        <v>0</v>
      </c>
      <c r="O189" s="189" t="str">
        <f t="shared" si="38"/>
        <v>FALSE</v>
      </c>
    </row>
    <row r="190" spans="1:15" s="16" customFormat="1" ht="11.25">
      <c r="A190" s="172"/>
      <c r="B190" s="179"/>
      <c r="C190" s="180"/>
      <c r="D190" s="181"/>
      <c r="E190" s="182"/>
      <c r="F190" s="183"/>
      <c r="G190" s="184"/>
      <c r="H190" s="185">
        <f t="shared" si="33"/>
        <v>0</v>
      </c>
      <c r="I190" s="186">
        <f t="shared" si="34"/>
        <v>31</v>
      </c>
      <c r="J190" s="187"/>
      <c r="K190" s="187"/>
      <c r="L190" s="396">
        <f t="shared" si="35"/>
        <v>0</v>
      </c>
      <c r="M190" s="188">
        <f t="shared" si="36"/>
        <v>0</v>
      </c>
      <c r="N190" s="189" t="b">
        <f t="shared" si="37"/>
        <v>0</v>
      </c>
      <c r="O190" s="189" t="str">
        <f t="shared" si="38"/>
        <v>FALSE</v>
      </c>
    </row>
    <row r="191" spans="1:15" s="16" customFormat="1" ht="11.25">
      <c r="A191" s="172"/>
      <c r="B191" s="179"/>
      <c r="C191" s="180"/>
      <c r="D191" s="181"/>
      <c r="E191" s="182"/>
      <c r="F191" s="183"/>
      <c r="G191" s="184"/>
      <c r="H191" s="185">
        <f t="shared" si="33"/>
        <v>0</v>
      </c>
      <c r="I191" s="186">
        <f t="shared" si="34"/>
        <v>31</v>
      </c>
      <c r="J191" s="187"/>
      <c r="K191" s="187"/>
      <c r="L191" s="396">
        <f t="shared" si="35"/>
        <v>0</v>
      </c>
      <c r="M191" s="188">
        <f t="shared" si="36"/>
        <v>0</v>
      </c>
      <c r="N191" s="189" t="b">
        <f t="shared" si="37"/>
        <v>0</v>
      </c>
      <c r="O191" s="189" t="str">
        <f t="shared" si="38"/>
        <v>FALSE</v>
      </c>
    </row>
    <row r="192" spans="1:15" s="16" customFormat="1" ht="11.25">
      <c r="A192" s="172"/>
      <c r="B192" s="179"/>
      <c r="C192" s="180"/>
      <c r="D192" s="181"/>
      <c r="E192" s="182"/>
      <c r="F192" s="183"/>
      <c r="G192" s="184"/>
      <c r="H192" s="185">
        <f t="shared" si="33"/>
        <v>0</v>
      </c>
      <c r="I192" s="186">
        <f t="shared" si="34"/>
        <v>31</v>
      </c>
      <c r="J192" s="187"/>
      <c r="K192" s="187"/>
      <c r="L192" s="396">
        <f t="shared" si="35"/>
        <v>0</v>
      </c>
      <c r="M192" s="188">
        <f t="shared" si="36"/>
        <v>0</v>
      </c>
      <c r="N192" s="189" t="b">
        <f t="shared" si="37"/>
        <v>0</v>
      </c>
      <c r="O192" s="189" t="str">
        <f t="shared" si="38"/>
        <v>FALSE</v>
      </c>
    </row>
    <row r="193" spans="1:15" s="16" customFormat="1" ht="11.25">
      <c r="A193" s="172"/>
      <c r="B193" s="179"/>
      <c r="C193" s="180"/>
      <c r="D193" s="181"/>
      <c r="E193" s="182"/>
      <c r="F193" s="183"/>
      <c r="G193" s="184"/>
      <c r="H193" s="185">
        <f t="shared" si="33"/>
        <v>0</v>
      </c>
      <c r="I193" s="186">
        <f t="shared" si="34"/>
        <v>31</v>
      </c>
      <c r="J193" s="187"/>
      <c r="K193" s="187"/>
      <c r="L193" s="396">
        <f t="shared" si="35"/>
        <v>0</v>
      </c>
      <c r="M193" s="188">
        <f t="shared" si="36"/>
        <v>0</v>
      </c>
      <c r="N193" s="189" t="b">
        <f t="shared" si="37"/>
        <v>0</v>
      </c>
      <c r="O193" s="189" t="str">
        <f t="shared" si="38"/>
        <v>FALSE</v>
      </c>
    </row>
    <row r="194" spans="1:15" s="16" customFormat="1" ht="11.25">
      <c r="A194" s="172" t="str">
        <f>IF(C194="","",IF(C194=C195,"A",IF(C194=C147,"B","")))</f>
        <v/>
      </c>
      <c r="B194" s="179"/>
      <c r="C194" s="180"/>
      <c r="D194" s="181"/>
      <c r="E194" s="182"/>
      <c r="F194" s="183"/>
      <c r="G194" s="184"/>
      <c r="H194" s="185">
        <f t="shared" si="33"/>
        <v>0</v>
      </c>
      <c r="I194" s="186">
        <f t="shared" si="34"/>
        <v>31</v>
      </c>
      <c r="J194" s="187"/>
      <c r="K194" s="187"/>
      <c r="L194" s="396">
        <f t="shared" si="35"/>
        <v>0</v>
      </c>
      <c r="M194" s="188">
        <f t="shared" si="36"/>
        <v>0</v>
      </c>
      <c r="N194" s="189" t="b">
        <f t="shared" si="37"/>
        <v>0</v>
      </c>
      <c r="O194" s="189" t="str">
        <f t="shared" si="38"/>
        <v>FALSE</v>
      </c>
    </row>
    <row r="195" spans="1:15" s="16" customFormat="1" ht="11.25">
      <c r="A195" s="172" t="str">
        <f t="shared" si="32"/>
        <v/>
      </c>
      <c r="B195" s="179"/>
      <c r="C195" s="180"/>
      <c r="D195" s="181"/>
      <c r="E195" s="182"/>
      <c r="F195" s="183"/>
      <c r="G195" s="184"/>
      <c r="H195" s="185">
        <f t="shared" si="33"/>
        <v>0</v>
      </c>
      <c r="I195" s="186">
        <f t="shared" si="34"/>
        <v>31</v>
      </c>
      <c r="J195" s="187"/>
      <c r="K195" s="187"/>
      <c r="L195" s="396">
        <f t="shared" si="35"/>
        <v>0</v>
      </c>
      <c r="M195" s="188">
        <f t="shared" si="36"/>
        <v>0</v>
      </c>
      <c r="N195" s="189" t="b">
        <f t="shared" si="37"/>
        <v>0</v>
      </c>
      <c r="O195" s="189" t="str">
        <f t="shared" si="38"/>
        <v>FALSE</v>
      </c>
    </row>
    <row r="196" spans="1:15" s="16" customFormat="1" ht="11.25">
      <c r="A196" s="172" t="str">
        <f t="shared" si="32"/>
        <v/>
      </c>
      <c r="B196" s="179"/>
      <c r="C196" s="180"/>
      <c r="D196" s="181"/>
      <c r="E196" s="182"/>
      <c r="F196" s="183"/>
      <c r="G196" s="184"/>
      <c r="H196" s="185">
        <f t="shared" si="33"/>
        <v>0</v>
      </c>
      <c r="I196" s="186">
        <f t="shared" si="34"/>
        <v>31</v>
      </c>
      <c r="J196" s="187"/>
      <c r="K196" s="187"/>
      <c r="L196" s="396">
        <f t="shared" si="35"/>
        <v>0</v>
      </c>
      <c r="M196" s="188">
        <f t="shared" si="36"/>
        <v>0</v>
      </c>
      <c r="N196" s="189" t="b">
        <f t="shared" si="37"/>
        <v>0</v>
      </c>
      <c r="O196" s="189" t="str">
        <f t="shared" si="38"/>
        <v>FALSE</v>
      </c>
    </row>
    <row r="197" spans="1:15" s="16" customFormat="1" ht="11.25">
      <c r="A197" s="172" t="str">
        <f>IF(C197="","",IF(C197=#REF!,"A",IF(C197=C196,"B","")))</f>
        <v/>
      </c>
      <c r="B197" s="179"/>
      <c r="C197" s="180"/>
      <c r="D197" s="181"/>
      <c r="E197" s="182"/>
      <c r="F197" s="183"/>
      <c r="G197" s="184"/>
      <c r="H197" s="185">
        <f t="shared" si="33"/>
        <v>0</v>
      </c>
      <c r="I197" s="186">
        <f t="shared" si="34"/>
        <v>31</v>
      </c>
      <c r="J197" s="187"/>
      <c r="K197" s="187"/>
      <c r="L197" s="396">
        <f t="shared" si="35"/>
        <v>0</v>
      </c>
      <c r="M197" s="188">
        <f t="shared" si="36"/>
        <v>0</v>
      </c>
      <c r="N197" s="189" t="b">
        <f t="shared" si="37"/>
        <v>0</v>
      </c>
      <c r="O197" s="189" t="str">
        <f t="shared" si="38"/>
        <v>FALSE</v>
      </c>
    </row>
    <row r="198" spans="1:15" s="13" customFormat="1" ht="5.0999999999999996" customHeight="1">
      <c r="B198" s="191"/>
      <c r="C198" s="192"/>
      <c r="D198" s="191"/>
      <c r="E198" s="191"/>
      <c r="F198" s="193"/>
      <c r="G198" s="194"/>
      <c r="H198" s="195"/>
      <c r="I198" s="196"/>
      <c r="J198" s="197"/>
      <c r="K198" s="197"/>
      <c r="L198" s="198"/>
      <c r="M198" s="199"/>
      <c r="N198" s="200"/>
    </row>
    <row r="199" spans="1:15" s="16" customFormat="1" thickBot="1">
      <c r="A199" s="202" t="s">
        <v>173</v>
      </c>
      <c r="B199" s="203"/>
      <c r="C199" s="204">
        <f>COUNTA(C10:C197)</f>
        <v>160</v>
      </c>
      <c r="D199" s="205">
        <f>E199/C199</f>
        <v>1616.6</v>
      </c>
      <c r="E199" s="205">
        <f>SUM(E10:E197)</f>
        <v>258656</v>
      </c>
      <c r="F199" s="206"/>
      <c r="G199" s="207"/>
      <c r="H199" s="207"/>
      <c r="I199" s="207"/>
      <c r="J199" s="208">
        <f>SUM(J10:J197)</f>
        <v>751456</v>
      </c>
      <c r="K199" s="209">
        <f>SUM(K10:K197)</f>
        <v>723913.35000000009</v>
      </c>
      <c r="L199" s="209">
        <f>SUM(L10:L197)</f>
        <v>-27542.649999999994</v>
      </c>
      <c r="M199" s="210">
        <f>(K199-J199)/J199</f>
        <v>-3.6652378848528601E-2</v>
      </c>
      <c r="N199" s="211">
        <f t="shared" ref="N199:O199" si="39">COUNT(N9:N197)</f>
        <v>0</v>
      </c>
      <c r="O199" s="211">
        <f t="shared" si="39"/>
        <v>156</v>
      </c>
    </row>
    <row r="200" spans="1:15" s="16" customFormat="1">
      <c r="A200" s="212"/>
      <c r="B200" s="13"/>
      <c r="C200" s="212"/>
      <c r="D200" s="213"/>
      <c r="E200" s="214"/>
      <c r="G200" s="215"/>
      <c r="H200" s="216"/>
      <c r="I200" s="216"/>
      <c r="J200" s="216"/>
      <c r="K200" s="217"/>
      <c r="L200" s="216"/>
      <c r="M200" s="216"/>
    </row>
    <row r="201" spans="1:15" s="16" customFormat="1">
      <c r="A201" s="212"/>
      <c r="B201" s="13"/>
      <c r="C201" s="165"/>
      <c r="D201" s="213"/>
      <c r="E201" s="214"/>
      <c r="G201" s="215"/>
      <c r="H201" s="216"/>
      <c r="I201" s="217"/>
      <c r="J201" s="216"/>
      <c r="K201" s="217"/>
      <c r="L201" s="216"/>
      <c r="M201" s="216"/>
    </row>
    <row r="202" spans="1:15" s="16" customFormat="1">
      <c r="A202" s="212"/>
      <c r="B202" s="13"/>
      <c r="C202" s="212"/>
      <c r="D202" s="213"/>
      <c r="E202" s="214"/>
      <c r="F202" s="218"/>
      <c r="G202" s="219"/>
      <c r="H202" s="216"/>
      <c r="I202" s="217"/>
      <c r="J202" s="216"/>
      <c r="K202" s="217"/>
      <c r="L202" s="216"/>
      <c r="M202" s="216"/>
    </row>
    <row r="203" spans="1:15" s="16" customFormat="1">
      <c r="A203" s="212"/>
      <c r="B203" s="13"/>
      <c r="C203" s="212"/>
      <c r="D203" s="213"/>
      <c r="E203" s="220"/>
      <c r="G203" s="165"/>
      <c r="H203" s="165"/>
      <c r="I203" s="220"/>
      <c r="J203" s="221"/>
      <c r="K203" s="222"/>
      <c r="L203" s="216"/>
      <c r="M203" s="216"/>
    </row>
    <row r="204" spans="1:15" s="16" customFormat="1">
      <c r="A204" s="212"/>
      <c r="B204" s="13"/>
      <c r="C204" s="212"/>
      <c r="D204" s="213"/>
      <c r="E204" s="220"/>
      <c r="G204" s="165"/>
      <c r="H204" s="165"/>
      <c r="I204" s="220"/>
      <c r="J204" s="221"/>
      <c r="K204" s="223"/>
      <c r="L204" s="216"/>
      <c r="M204" s="216"/>
    </row>
    <row r="205" spans="1:15" s="16" customFormat="1">
      <c r="A205" s="13"/>
      <c r="B205" s="13"/>
      <c r="C205" s="212"/>
      <c r="D205" s="213"/>
      <c r="E205" s="212"/>
      <c r="F205" s="220"/>
      <c r="G205" s="165"/>
      <c r="H205" s="165"/>
      <c r="I205" s="165"/>
      <c r="J205" s="223"/>
      <c r="K205" s="201"/>
      <c r="L205" s="216"/>
      <c r="M205" s="216"/>
    </row>
    <row r="206" spans="1:15" s="16" customFormat="1">
      <c r="A206" s="13"/>
      <c r="B206" s="13"/>
      <c r="C206" s="212"/>
      <c r="D206" s="213"/>
      <c r="E206" s="212"/>
      <c r="F206" s="220"/>
      <c r="G206" s="165"/>
      <c r="H206" s="165"/>
      <c r="I206" s="220"/>
      <c r="J206" s="221"/>
      <c r="K206" s="223"/>
      <c r="L206" s="223"/>
      <c r="M206" s="224"/>
    </row>
    <row r="207" spans="1:15" s="16" customFormat="1">
      <c r="A207" s="13"/>
      <c r="B207" s="13"/>
      <c r="C207" s="212"/>
      <c r="D207" s="213"/>
      <c r="E207" s="212"/>
      <c r="F207" s="220"/>
      <c r="G207" s="165"/>
      <c r="H207" s="165"/>
      <c r="I207" s="220"/>
      <c r="J207" s="221"/>
      <c r="K207" s="223"/>
      <c r="L207" s="223"/>
      <c r="M207" s="224"/>
    </row>
    <row r="208" spans="1:15" s="16" customFormat="1">
      <c r="A208" s="13"/>
      <c r="B208" s="13"/>
      <c r="C208" s="212"/>
      <c r="D208" s="213"/>
      <c r="E208" s="212"/>
      <c r="F208" s="220"/>
      <c r="G208" s="165"/>
      <c r="H208" s="165"/>
      <c r="I208" s="220"/>
      <c r="J208" s="221"/>
      <c r="K208" s="223"/>
      <c r="L208" s="223"/>
      <c r="M208" s="224"/>
    </row>
    <row r="209" spans="1:13" s="16" customFormat="1">
      <c r="A209" s="13"/>
      <c r="B209" s="13"/>
      <c r="C209" s="212"/>
      <c r="D209" s="213"/>
      <c r="E209" s="212"/>
      <c r="F209" s="220"/>
      <c r="G209" s="165"/>
      <c r="H209" s="165"/>
      <c r="I209" s="220"/>
      <c r="J209" s="221"/>
      <c r="K209" s="165"/>
      <c r="L209" s="223"/>
      <c r="M209" s="224"/>
    </row>
    <row r="210" spans="1:13" s="16" customFormat="1">
      <c r="A210" s="13"/>
      <c r="B210" s="13"/>
      <c r="C210" s="212"/>
      <c r="D210" s="213"/>
      <c r="E210" s="212"/>
      <c r="F210" s="220"/>
      <c r="G210" s="165"/>
      <c r="H210" s="165"/>
      <c r="I210" s="220"/>
      <c r="J210" s="221"/>
      <c r="K210" s="220"/>
      <c r="L210" s="223"/>
      <c r="M210" s="224"/>
    </row>
    <row r="211" spans="1:13" s="16" customFormat="1">
      <c r="A211" s="13"/>
      <c r="B211" s="13"/>
      <c r="C211" s="165"/>
      <c r="D211" s="213"/>
      <c r="E211" s="225"/>
      <c r="F211" s="226"/>
      <c r="G211" s="165"/>
      <c r="H211" s="165"/>
      <c r="I211" s="220"/>
      <c r="J211" s="221"/>
      <c r="K211" s="220"/>
      <c r="L211" s="223"/>
      <c r="M211" s="224"/>
    </row>
    <row r="212" spans="1:13" s="16" customFormat="1">
      <c r="A212" s="13"/>
      <c r="B212" s="13"/>
      <c r="C212" s="212"/>
      <c r="D212" s="213"/>
      <c r="E212" s="13"/>
      <c r="F212" s="153"/>
      <c r="G212" s="165"/>
      <c r="H212" s="165"/>
      <c r="I212" s="220"/>
      <c r="J212" s="221"/>
      <c r="K212" s="220"/>
      <c r="L212" s="223"/>
      <c r="M212" s="224"/>
    </row>
    <row r="213" spans="1:13" s="16" customFormat="1">
      <c r="A213" s="13"/>
      <c r="B213" s="13"/>
      <c r="C213" s="212"/>
      <c r="D213" s="213"/>
      <c r="E213" s="13"/>
      <c r="F213" s="153"/>
      <c r="G213" s="165"/>
      <c r="H213" s="165"/>
      <c r="I213" s="227"/>
      <c r="J213" s="228"/>
      <c r="K213" s="220"/>
      <c r="L213" s="223"/>
      <c r="M213" s="224"/>
    </row>
    <row r="214" spans="1:13" s="16" customFormat="1">
      <c r="A214" s="13"/>
      <c r="B214" s="13"/>
      <c r="C214" s="212"/>
      <c r="D214" s="213"/>
      <c r="E214" s="13"/>
      <c r="F214" s="153"/>
      <c r="G214" s="165"/>
      <c r="H214" s="165"/>
      <c r="I214" s="165"/>
      <c r="J214" s="223"/>
      <c r="K214" s="220"/>
      <c r="L214" s="223"/>
      <c r="M214" s="224"/>
    </row>
    <row r="215" spans="1:13" s="16" customFormat="1">
      <c r="A215" s="13"/>
      <c r="B215" s="13"/>
      <c r="C215" s="212"/>
      <c r="D215" s="213"/>
      <c r="E215" s="13"/>
      <c r="F215" s="153"/>
      <c r="G215" s="165"/>
      <c r="H215" s="165"/>
      <c r="I215" s="165"/>
      <c r="J215" s="223"/>
      <c r="K215" s="220"/>
      <c r="L215" s="223"/>
      <c r="M215" s="224"/>
    </row>
    <row r="216" spans="1:13" s="16" customFormat="1">
      <c r="A216" s="13"/>
      <c r="B216" s="13"/>
      <c r="C216" s="212"/>
      <c r="D216" s="213"/>
      <c r="E216" s="13"/>
      <c r="F216" s="153"/>
      <c r="G216" s="165"/>
      <c r="H216" s="165"/>
      <c r="I216" s="165"/>
      <c r="J216" s="223"/>
      <c r="K216" s="220"/>
      <c r="L216" s="223"/>
      <c r="M216" s="224"/>
    </row>
    <row r="217" spans="1:13" s="16" customFormat="1">
      <c r="A217" s="13"/>
      <c r="B217" s="13"/>
      <c r="C217" s="212"/>
      <c r="D217" s="213"/>
      <c r="E217" s="13"/>
      <c r="F217" s="153"/>
      <c r="G217" s="165"/>
      <c r="H217" s="165"/>
      <c r="I217" s="165"/>
      <c r="J217" s="223"/>
      <c r="K217" s="223"/>
      <c r="L217" s="223"/>
      <c r="M217" s="224"/>
    </row>
    <row r="218" spans="1:13" s="16" customFormat="1">
      <c r="A218" s="13"/>
      <c r="B218" s="13"/>
      <c r="C218" s="212"/>
      <c r="D218" s="213"/>
      <c r="E218" s="13"/>
      <c r="F218" s="153"/>
      <c r="G218" s="165"/>
      <c r="H218" s="165"/>
      <c r="I218" s="165"/>
      <c r="J218" s="223"/>
      <c r="K218" s="223"/>
      <c r="L218" s="223"/>
      <c r="M218" s="224"/>
    </row>
    <row r="219" spans="1:13" s="16" customFormat="1">
      <c r="A219" s="13"/>
      <c r="B219" s="13"/>
      <c r="C219" s="212"/>
      <c r="D219" s="213"/>
      <c r="E219" s="13"/>
      <c r="F219" s="153"/>
      <c r="G219" s="165"/>
      <c r="H219" s="165"/>
      <c r="I219" s="165"/>
      <c r="J219" s="223"/>
      <c r="K219" s="223"/>
      <c r="L219" s="223"/>
      <c r="M219" s="224"/>
    </row>
    <row r="220" spans="1:13" s="16" customFormat="1">
      <c r="A220" s="13"/>
      <c r="B220" s="13"/>
      <c r="C220" s="212"/>
      <c r="D220" s="213"/>
      <c r="E220" s="13"/>
      <c r="F220" s="153"/>
      <c r="G220" s="165"/>
      <c r="H220" s="165"/>
      <c r="I220" s="165"/>
      <c r="J220" s="223"/>
      <c r="K220" s="223"/>
      <c r="L220" s="223"/>
      <c r="M220" s="224"/>
    </row>
    <row r="221" spans="1:13" s="16" customFormat="1">
      <c r="A221" s="13"/>
      <c r="B221" s="13"/>
      <c r="C221" s="212"/>
      <c r="D221" s="213"/>
      <c r="E221" s="13"/>
      <c r="F221" s="153"/>
      <c r="G221" s="165"/>
      <c r="H221" s="165"/>
      <c r="I221" s="165"/>
      <c r="J221" s="223"/>
      <c r="K221" s="223"/>
      <c r="L221" s="223"/>
      <c r="M221" s="224"/>
    </row>
    <row r="222" spans="1:13" s="16" customFormat="1">
      <c r="A222" s="13"/>
      <c r="B222" s="13"/>
      <c r="C222" s="212"/>
      <c r="D222" s="213"/>
      <c r="E222" s="13"/>
      <c r="F222" s="153"/>
      <c r="G222" s="165"/>
      <c r="H222" s="165"/>
      <c r="I222" s="165"/>
      <c r="J222" s="223"/>
      <c r="K222" s="223"/>
      <c r="L222" s="223"/>
      <c r="M222" s="224"/>
    </row>
    <row r="223" spans="1:13" s="16" customFormat="1">
      <c r="A223" s="13"/>
      <c r="B223" s="13"/>
      <c r="C223" s="212"/>
      <c r="D223" s="213"/>
      <c r="E223" s="13"/>
      <c r="F223" s="153"/>
      <c r="G223" s="165"/>
      <c r="H223" s="165"/>
      <c r="I223" s="165"/>
      <c r="J223" s="223"/>
      <c r="K223" s="223"/>
      <c r="L223" s="223"/>
      <c r="M223" s="224"/>
    </row>
    <row r="224" spans="1:13" s="16" customFormat="1">
      <c r="A224" s="13"/>
      <c r="B224" s="13"/>
      <c r="C224" s="212"/>
      <c r="D224" s="213"/>
      <c r="E224" s="13"/>
      <c r="F224" s="153"/>
      <c r="G224" s="165"/>
      <c r="H224" s="165"/>
      <c r="I224" s="165"/>
      <c r="J224" s="223"/>
      <c r="K224" s="223"/>
      <c r="L224" s="223"/>
      <c r="M224" s="224"/>
    </row>
    <row r="225" spans="1:13" s="16" customFormat="1">
      <c r="A225" s="13"/>
      <c r="B225" s="13"/>
      <c r="C225" s="212"/>
      <c r="D225" s="213"/>
      <c r="E225" s="13"/>
      <c r="F225" s="153"/>
      <c r="G225" s="165"/>
      <c r="H225" s="165"/>
      <c r="I225" s="165"/>
      <c r="J225" s="223"/>
      <c r="K225" s="223"/>
      <c r="L225" s="223"/>
      <c r="M225" s="224"/>
    </row>
    <row r="226" spans="1:13" s="16" customFormat="1">
      <c r="A226" s="13"/>
      <c r="B226" s="13"/>
      <c r="C226" s="212"/>
      <c r="D226" s="213"/>
      <c r="E226" s="13"/>
      <c r="F226" s="153"/>
      <c r="G226" s="165"/>
      <c r="H226" s="165"/>
      <c r="I226" s="165"/>
      <c r="J226" s="223"/>
      <c r="K226" s="223"/>
      <c r="L226" s="223"/>
      <c r="M226" s="224"/>
    </row>
    <row r="227" spans="1:13" s="16" customFormat="1">
      <c r="A227" s="13"/>
      <c r="B227" s="13"/>
      <c r="C227" s="212"/>
      <c r="D227" s="213"/>
      <c r="E227" s="13"/>
      <c r="F227" s="153"/>
      <c r="G227" s="165"/>
      <c r="H227" s="165"/>
      <c r="I227" s="165"/>
      <c r="J227" s="223"/>
      <c r="K227" s="223"/>
      <c r="L227" s="223"/>
      <c r="M227" s="224"/>
    </row>
    <row r="228" spans="1:13" s="16" customFormat="1">
      <c r="A228" s="13"/>
      <c r="B228" s="13"/>
      <c r="C228" s="212"/>
      <c r="D228" s="213"/>
      <c r="E228" s="13"/>
      <c r="F228" s="153"/>
      <c r="G228" s="165"/>
      <c r="H228" s="165"/>
      <c r="I228" s="165"/>
      <c r="J228" s="223"/>
      <c r="K228" s="223"/>
      <c r="L228" s="223"/>
      <c r="M228" s="224"/>
    </row>
    <row r="229" spans="1:13" s="16" customFormat="1">
      <c r="A229" s="13"/>
      <c r="B229" s="13"/>
      <c r="C229" s="212"/>
      <c r="D229" s="213"/>
      <c r="E229" s="13"/>
      <c r="F229" s="153"/>
      <c r="G229" s="165"/>
      <c r="H229" s="165"/>
      <c r="I229" s="165"/>
      <c r="J229" s="223"/>
      <c r="K229" s="223"/>
      <c r="L229" s="223"/>
      <c r="M229" s="224"/>
    </row>
    <row r="230" spans="1:13" s="16" customFormat="1">
      <c r="A230" s="13"/>
      <c r="B230" s="13"/>
      <c r="C230" s="212"/>
      <c r="D230" s="213"/>
      <c r="E230" s="13"/>
      <c r="F230" s="153"/>
      <c r="G230" s="165"/>
      <c r="H230" s="165"/>
      <c r="I230" s="165"/>
      <c r="J230" s="223"/>
      <c r="K230" s="223"/>
      <c r="L230" s="223"/>
      <c r="M230" s="224"/>
    </row>
    <row r="231" spans="1:13" s="16" customFormat="1">
      <c r="A231" s="13"/>
      <c r="B231" s="13"/>
      <c r="C231" s="212"/>
      <c r="D231" s="213"/>
      <c r="E231" s="13"/>
      <c r="F231" s="153"/>
      <c r="G231" s="165"/>
      <c r="H231" s="165"/>
      <c r="I231" s="165"/>
      <c r="J231" s="223"/>
      <c r="K231" s="223"/>
      <c r="L231" s="223"/>
      <c r="M231" s="224"/>
    </row>
    <row r="232" spans="1:13" s="16" customFormat="1">
      <c r="A232" s="13"/>
      <c r="B232" s="13"/>
      <c r="C232" s="212"/>
      <c r="D232" s="213"/>
      <c r="E232" s="13"/>
      <c r="F232" s="153"/>
      <c r="G232" s="165"/>
      <c r="H232" s="165"/>
      <c r="I232" s="165"/>
      <c r="J232" s="223"/>
      <c r="K232" s="223"/>
      <c r="L232" s="223"/>
      <c r="M232" s="224"/>
    </row>
    <row r="233" spans="1:13" s="16" customFormat="1">
      <c r="A233" s="13"/>
      <c r="B233" s="13"/>
      <c r="C233" s="212"/>
      <c r="D233" s="213"/>
      <c r="E233" s="13"/>
      <c r="F233" s="153"/>
      <c r="G233" s="165"/>
      <c r="H233" s="165"/>
      <c r="I233" s="165"/>
      <c r="J233" s="223"/>
      <c r="K233" s="223"/>
      <c r="L233" s="223"/>
      <c r="M233" s="224"/>
    </row>
    <row r="234" spans="1:13" s="16" customFormat="1">
      <c r="A234" s="13"/>
      <c r="B234" s="13"/>
      <c r="C234" s="212"/>
      <c r="D234" s="213"/>
      <c r="E234" s="13"/>
      <c r="F234" s="153"/>
      <c r="G234" s="165"/>
      <c r="H234" s="165"/>
      <c r="I234" s="165"/>
      <c r="J234" s="223"/>
      <c r="K234" s="223"/>
      <c r="L234" s="223"/>
      <c r="M234" s="224"/>
    </row>
    <row r="235" spans="1:13" s="16" customFormat="1">
      <c r="A235" s="13"/>
      <c r="B235" s="13"/>
      <c r="C235" s="212"/>
      <c r="D235" s="213"/>
      <c r="E235" s="13"/>
      <c r="F235" s="153"/>
      <c r="G235" s="165"/>
      <c r="H235" s="165"/>
      <c r="I235" s="165"/>
      <c r="J235" s="223"/>
      <c r="K235" s="223"/>
      <c r="L235" s="223"/>
      <c r="M235" s="224"/>
    </row>
    <row r="236" spans="1:13" s="16" customFormat="1">
      <c r="A236" s="13"/>
      <c r="B236" s="13"/>
      <c r="C236" s="212"/>
      <c r="D236" s="213"/>
      <c r="E236" s="13"/>
      <c r="F236" s="153"/>
      <c r="G236" s="165"/>
      <c r="H236" s="165"/>
      <c r="I236" s="165"/>
      <c r="J236" s="223"/>
      <c r="K236" s="223"/>
      <c r="L236" s="223"/>
      <c r="M236" s="224"/>
    </row>
    <row r="237" spans="1:13" s="16" customFormat="1">
      <c r="A237" s="13"/>
      <c r="B237" s="13"/>
      <c r="C237" s="212"/>
      <c r="D237" s="213"/>
      <c r="E237" s="13"/>
      <c r="F237" s="153"/>
      <c r="G237" s="165"/>
      <c r="H237" s="165"/>
      <c r="I237" s="165"/>
      <c r="J237" s="223"/>
      <c r="K237" s="223"/>
      <c r="L237" s="223"/>
      <c r="M237" s="224"/>
    </row>
    <row r="238" spans="1:13" s="16" customFormat="1">
      <c r="A238" s="13"/>
      <c r="B238" s="13"/>
      <c r="C238" s="212"/>
      <c r="D238" s="213"/>
      <c r="E238" s="13"/>
      <c r="F238" s="153"/>
      <c r="G238" s="165"/>
      <c r="H238" s="165"/>
      <c r="I238" s="165"/>
      <c r="J238" s="223"/>
      <c r="K238" s="223"/>
      <c r="L238" s="223"/>
      <c r="M238" s="224"/>
    </row>
    <row r="239" spans="1:13" s="16" customFormat="1">
      <c r="A239" s="13"/>
      <c r="B239" s="13"/>
      <c r="C239" s="212"/>
      <c r="D239" s="213"/>
      <c r="E239" s="13"/>
      <c r="F239" s="153"/>
      <c r="G239" s="165"/>
      <c r="H239" s="165"/>
      <c r="I239" s="165"/>
      <c r="J239" s="223"/>
      <c r="K239" s="223"/>
      <c r="L239" s="223"/>
      <c r="M239" s="224"/>
    </row>
    <row r="240" spans="1:13" s="16" customFormat="1">
      <c r="A240" s="13"/>
      <c r="B240" s="13"/>
      <c r="C240" s="212"/>
      <c r="D240" s="213"/>
      <c r="E240" s="13"/>
      <c r="F240" s="153"/>
      <c r="G240" s="165"/>
      <c r="H240" s="165"/>
      <c r="I240" s="165"/>
      <c r="J240" s="223"/>
      <c r="K240" s="223"/>
      <c r="L240" s="223"/>
      <c r="M240" s="224"/>
    </row>
    <row r="241" spans="1:13" s="16" customFormat="1">
      <c r="A241" s="13"/>
      <c r="B241" s="13"/>
      <c r="C241" s="212"/>
      <c r="D241" s="213"/>
      <c r="E241" s="13"/>
      <c r="F241" s="153"/>
      <c r="G241" s="165"/>
      <c r="H241" s="165"/>
      <c r="I241" s="165"/>
      <c r="J241" s="223"/>
      <c r="K241" s="223"/>
      <c r="L241" s="223"/>
      <c r="M241" s="224"/>
    </row>
    <row r="242" spans="1:13" s="16" customFormat="1">
      <c r="A242" s="13"/>
      <c r="B242" s="13"/>
      <c r="C242" s="212"/>
      <c r="D242" s="213"/>
      <c r="E242" s="13"/>
      <c r="F242" s="153"/>
      <c r="G242" s="165"/>
      <c r="H242" s="165"/>
      <c r="I242" s="165"/>
      <c r="J242" s="223"/>
      <c r="K242" s="223"/>
      <c r="L242" s="223"/>
      <c r="M242" s="224"/>
    </row>
    <row r="243" spans="1:13" s="16" customFormat="1">
      <c r="A243" s="13"/>
      <c r="B243" s="13"/>
      <c r="C243" s="212"/>
      <c r="D243" s="213"/>
      <c r="E243" s="13"/>
      <c r="F243" s="153"/>
      <c r="G243" s="165"/>
      <c r="H243" s="165"/>
      <c r="I243" s="165"/>
      <c r="J243" s="223"/>
      <c r="K243" s="223"/>
      <c r="L243" s="223"/>
      <c r="M243" s="224"/>
    </row>
    <row r="244" spans="1:13" s="16" customFormat="1">
      <c r="A244" s="13"/>
      <c r="B244" s="13"/>
      <c r="C244" s="212"/>
      <c r="D244" s="213"/>
      <c r="E244" s="13"/>
      <c r="F244" s="153"/>
      <c r="G244" s="165"/>
      <c r="H244" s="165"/>
      <c r="I244" s="165"/>
      <c r="J244" s="223"/>
      <c r="K244" s="223"/>
      <c r="L244" s="223"/>
      <c r="M244" s="224"/>
    </row>
    <row r="245" spans="1:13" s="16" customFormat="1">
      <c r="A245" s="13"/>
      <c r="B245" s="13"/>
      <c r="C245" s="212"/>
      <c r="D245" s="213"/>
      <c r="E245" s="13"/>
      <c r="F245" s="153"/>
      <c r="G245" s="165"/>
      <c r="H245" s="165"/>
      <c r="I245" s="165"/>
      <c r="J245" s="223"/>
      <c r="K245" s="223"/>
      <c r="L245" s="223"/>
      <c r="M245" s="224"/>
    </row>
    <row r="246" spans="1:13" s="16" customFormat="1">
      <c r="A246" s="13"/>
      <c r="B246" s="13"/>
      <c r="C246" s="212"/>
      <c r="D246" s="213"/>
      <c r="E246" s="13"/>
      <c r="F246" s="153"/>
      <c r="G246" s="165"/>
      <c r="H246" s="165"/>
      <c r="I246" s="165"/>
      <c r="J246" s="223"/>
      <c r="K246" s="223"/>
      <c r="L246" s="223"/>
      <c r="M246" s="224"/>
    </row>
    <row r="247" spans="1:13" s="16" customFormat="1">
      <c r="A247" s="13"/>
      <c r="B247" s="13"/>
      <c r="C247" s="212"/>
      <c r="D247" s="213"/>
      <c r="E247" s="13"/>
      <c r="F247" s="153"/>
      <c r="G247" s="165"/>
      <c r="H247" s="165"/>
      <c r="I247" s="165"/>
      <c r="J247" s="223"/>
      <c r="K247" s="223"/>
      <c r="L247" s="223"/>
      <c r="M247" s="224"/>
    </row>
    <row r="248" spans="1:13" s="16" customFormat="1">
      <c r="A248" s="13"/>
      <c r="B248" s="13"/>
      <c r="C248" s="212"/>
      <c r="D248" s="213"/>
      <c r="E248" s="13"/>
      <c r="F248" s="153"/>
      <c r="G248" s="165"/>
      <c r="H248" s="165"/>
      <c r="I248" s="165"/>
      <c r="J248" s="223"/>
      <c r="K248" s="223"/>
      <c r="L248" s="223"/>
      <c r="M248" s="224"/>
    </row>
    <row r="249" spans="1:13" s="16" customFormat="1">
      <c r="A249" s="13"/>
      <c r="B249" s="13"/>
      <c r="C249" s="212"/>
      <c r="D249" s="213"/>
      <c r="E249" s="13"/>
      <c r="F249" s="153"/>
      <c r="G249" s="165"/>
      <c r="H249" s="165"/>
      <c r="I249" s="165"/>
      <c r="J249" s="223"/>
      <c r="K249" s="223"/>
      <c r="L249" s="223"/>
      <c r="M249" s="224"/>
    </row>
    <row r="250" spans="1:13" s="16" customFormat="1">
      <c r="A250" s="13"/>
      <c r="B250" s="13"/>
      <c r="C250" s="212"/>
      <c r="D250" s="213"/>
      <c r="E250" s="13"/>
      <c r="F250" s="153"/>
      <c r="G250" s="165"/>
      <c r="H250" s="165"/>
      <c r="I250" s="165"/>
      <c r="J250" s="223"/>
      <c r="K250" s="223"/>
      <c r="L250" s="223"/>
      <c r="M250" s="224"/>
    </row>
    <row r="251" spans="1:13" s="16" customFormat="1">
      <c r="A251" s="13"/>
      <c r="B251" s="13"/>
      <c r="C251" s="212"/>
      <c r="D251" s="213"/>
      <c r="E251" s="13"/>
      <c r="F251" s="153"/>
      <c r="G251" s="165"/>
      <c r="H251" s="165"/>
      <c r="I251" s="165"/>
      <c r="J251" s="223"/>
      <c r="K251" s="223"/>
      <c r="L251" s="223"/>
      <c r="M251" s="224"/>
    </row>
    <row r="252" spans="1:13" s="16" customFormat="1">
      <c r="A252" s="13"/>
      <c r="B252" s="13"/>
      <c r="C252" s="212"/>
      <c r="D252" s="213"/>
      <c r="E252" s="13"/>
      <c r="F252" s="153"/>
      <c r="G252" s="165"/>
      <c r="H252" s="165"/>
      <c r="I252" s="165"/>
      <c r="J252" s="223"/>
      <c r="K252" s="223"/>
      <c r="L252" s="223"/>
      <c r="M252" s="224"/>
    </row>
    <row r="253" spans="1:13" s="16" customFormat="1">
      <c r="A253" s="13"/>
      <c r="B253" s="13"/>
      <c r="C253" s="212"/>
      <c r="D253" s="213"/>
      <c r="E253" s="13"/>
      <c r="F253" s="153"/>
      <c r="G253" s="165"/>
      <c r="H253" s="165"/>
      <c r="I253" s="165"/>
      <c r="J253" s="223"/>
      <c r="K253" s="223"/>
      <c r="L253" s="223"/>
      <c r="M253" s="224"/>
    </row>
    <row r="254" spans="1:13" s="16" customFormat="1">
      <c r="A254" s="13"/>
      <c r="B254" s="13"/>
      <c r="C254" s="212"/>
      <c r="D254" s="213"/>
      <c r="E254" s="13"/>
      <c r="F254" s="153"/>
      <c r="G254" s="165"/>
      <c r="H254" s="165"/>
      <c r="I254" s="165"/>
      <c r="J254" s="223"/>
      <c r="K254" s="223"/>
      <c r="L254" s="223"/>
      <c r="M254" s="224"/>
    </row>
    <row r="255" spans="1:13" s="16" customFormat="1">
      <c r="A255" s="13"/>
      <c r="B255" s="13"/>
      <c r="C255" s="212"/>
      <c r="D255" s="213"/>
      <c r="E255" s="13"/>
      <c r="F255" s="153"/>
      <c r="G255" s="165"/>
      <c r="H255" s="165"/>
      <c r="I255" s="165"/>
      <c r="J255" s="223"/>
      <c r="K255" s="223"/>
      <c r="L255" s="223"/>
      <c r="M255" s="224"/>
    </row>
    <row r="256" spans="1:13" s="16" customFormat="1">
      <c r="A256" s="13"/>
      <c r="B256" s="13"/>
      <c r="C256" s="212"/>
      <c r="D256" s="213"/>
      <c r="E256" s="13"/>
      <c r="F256" s="153"/>
      <c r="G256" s="165"/>
      <c r="H256" s="165"/>
      <c r="I256" s="165"/>
      <c r="J256" s="223"/>
      <c r="K256" s="223"/>
      <c r="L256" s="223"/>
      <c r="M256" s="224"/>
    </row>
    <row r="257" spans="1:13" s="16" customFormat="1">
      <c r="A257" s="13"/>
      <c r="B257" s="13"/>
      <c r="C257" s="212"/>
      <c r="D257" s="213"/>
      <c r="E257" s="13"/>
      <c r="F257" s="153"/>
      <c r="G257" s="165"/>
      <c r="H257" s="165"/>
      <c r="I257" s="165"/>
      <c r="J257" s="223"/>
      <c r="K257" s="223"/>
      <c r="L257" s="223"/>
      <c r="M257" s="224"/>
    </row>
    <row r="258" spans="1:13" s="16" customFormat="1">
      <c r="A258" s="13"/>
      <c r="B258" s="13"/>
      <c r="C258" s="212"/>
      <c r="D258" s="213"/>
      <c r="E258" s="13"/>
      <c r="F258" s="153"/>
      <c r="G258" s="165"/>
      <c r="H258" s="165"/>
      <c r="I258" s="165"/>
      <c r="J258" s="223"/>
      <c r="K258" s="223"/>
      <c r="L258" s="223"/>
      <c r="M258" s="224"/>
    </row>
    <row r="259" spans="1:13" s="16" customFormat="1">
      <c r="A259" s="13"/>
      <c r="B259" s="13"/>
      <c r="C259" s="212"/>
      <c r="D259" s="213"/>
      <c r="E259" s="13"/>
      <c r="F259" s="153"/>
      <c r="G259" s="165"/>
      <c r="H259" s="165"/>
      <c r="I259" s="165"/>
      <c r="J259" s="223"/>
      <c r="K259" s="223"/>
      <c r="L259" s="223"/>
      <c r="M259" s="224"/>
    </row>
    <row r="260" spans="1:13" s="16" customFormat="1">
      <c r="A260" s="13"/>
      <c r="B260" s="13"/>
      <c r="C260" s="212"/>
      <c r="D260" s="213"/>
      <c r="E260" s="13"/>
      <c r="F260" s="153"/>
      <c r="G260" s="165"/>
      <c r="H260" s="165"/>
      <c r="I260" s="165"/>
      <c r="J260" s="223"/>
      <c r="K260" s="223"/>
      <c r="L260" s="223"/>
      <c r="M260" s="224"/>
    </row>
    <row r="261" spans="1:13" s="16" customFormat="1">
      <c r="A261" s="13"/>
      <c r="B261" s="13"/>
      <c r="C261" s="212"/>
      <c r="D261" s="213"/>
      <c r="E261" s="13"/>
      <c r="F261" s="153"/>
      <c r="G261" s="165"/>
      <c r="H261" s="165"/>
      <c r="I261" s="165"/>
      <c r="J261" s="223"/>
      <c r="K261" s="223"/>
      <c r="L261" s="223"/>
      <c r="M261" s="224"/>
    </row>
    <row r="262" spans="1:13" s="16" customFormat="1">
      <c r="A262" s="13"/>
      <c r="B262" s="13"/>
      <c r="C262" s="212"/>
      <c r="D262" s="213"/>
      <c r="E262" s="13"/>
      <c r="F262" s="153"/>
      <c r="G262" s="165"/>
      <c r="H262" s="165"/>
      <c r="I262" s="165"/>
      <c r="J262" s="223"/>
      <c r="K262" s="223"/>
      <c r="L262" s="223"/>
      <c r="M262" s="224"/>
    </row>
    <row r="263" spans="1:13" s="16" customFormat="1">
      <c r="A263" s="13"/>
      <c r="B263" s="13"/>
      <c r="C263" s="212"/>
      <c r="D263" s="213"/>
      <c r="E263" s="13"/>
      <c r="F263" s="153"/>
      <c r="G263" s="165"/>
      <c r="H263" s="165"/>
      <c r="I263" s="165"/>
      <c r="J263" s="223"/>
      <c r="K263" s="223"/>
      <c r="L263" s="223"/>
      <c r="M263" s="224"/>
    </row>
    <row r="264" spans="1:13" s="16" customFormat="1">
      <c r="A264" s="13"/>
      <c r="B264" s="13"/>
      <c r="C264" s="212"/>
      <c r="D264" s="213"/>
      <c r="E264" s="13"/>
      <c r="F264" s="153"/>
      <c r="G264" s="165"/>
      <c r="H264" s="165"/>
      <c r="I264" s="165"/>
      <c r="J264" s="223"/>
      <c r="K264" s="223"/>
      <c r="L264" s="223"/>
      <c r="M264" s="224"/>
    </row>
    <row r="265" spans="1:13" s="16" customFormat="1">
      <c r="A265" s="13"/>
      <c r="B265" s="13"/>
      <c r="C265" s="212"/>
      <c r="D265" s="213"/>
      <c r="E265" s="13"/>
      <c r="F265" s="153"/>
      <c r="G265" s="165"/>
      <c r="H265" s="165"/>
      <c r="I265" s="165"/>
      <c r="J265" s="223"/>
      <c r="K265" s="223"/>
      <c r="L265" s="223"/>
      <c r="M265" s="224"/>
    </row>
    <row r="266" spans="1:13" s="16" customFormat="1">
      <c r="A266" s="13"/>
      <c r="B266" s="13"/>
      <c r="C266" s="212"/>
      <c r="D266" s="213"/>
      <c r="E266" s="13"/>
      <c r="F266" s="153"/>
      <c r="G266" s="165"/>
      <c r="H266" s="165"/>
      <c r="I266" s="165"/>
      <c r="J266" s="223"/>
      <c r="K266" s="223"/>
      <c r="L266" s="223"/>
      <c r="M266" s="224"/>
    </row>
    <row r="267" spans="1:13" s="16" customFormat="1">
      <c r="A267" s="13"/>
      <c r="B267" s="13"/>
      <c r="C267" s="212"/>
      <c r="D267" s="213"/>
      <c r="E267" s="13"/>
      <c r="F267" s="153"/>
      <c r="G267" s="165"/>
      <c r="H267" s="165"/>
      <c r="I267" s="165"/>
      <c r="J267" s="223"/>
      <c r="K267" s="223"/>
      <c r="L267" s="223"/>
      <c r="M267" s="224"/>
    </row>
    <row r="268" spans="1:13" s="16" customFormat="1">
      <c r="A268" s="13"/>
      <c r="B268" s="13"/>
      <c r="C268" s="212"/>
      <c r="D268" s="213"/>
      <c r="E268" s="13"/>
      <c r="F268" s="153"/>
      <c r="G268" s="165"/>
      <c r="H268" s="165"/>
      <c r="I268" s="165"/>
      <c r="J268" s="223"/>
      <c r="K268" s="223"/>
      <c r="L268" s="223"/>
      <c r="M268" s="224"/>
    </row>
    <row r="269" spans="1:13" s="16" customFormat="1">
      <c r="A269" s="13"/>
      <c r="B269" s="13"/>
      <c r="C269" s="212"/>
      <c r="D269" s="213"/>
      <c r="E269" s="13"/>
      <c r="F269" s="153"/>
      <c r="G269" s="165"/>
      <c r="H269" s="165"/>
      <c r="I269" s="165"/>
      <c r="J269" s="223"/>
      <c r="K269" s="223"/>
      <c r="L269" s="223"/>
      <c r="M269" s="224"/>
    </row>
    <row r="270" spans="1:13" s="16" customFormat="1">
      <c r="A270" s="13"/>
      <c r="B270" s="13"/>
      <c r="C270" s="212"/>
      <c r="D270" s="213"/>
      <c r="E270" s="13"/>
      <c r="F270" s="153"/>
      <c r="G270" s="165"/>
      <c r="H270" s="165"/>
      <c r="I270" s="165"/>
      <c r="J270" s="223"/>
      <c r="K270" s="223"/>
      <c r="L270" s="223"/>
      <c r="M270" s="224"/>
    </row>
    <row r="271" spans="1:13" s="16" customFormat="1">
      <c r="A271" s="13"/>
      <c r="B271" s="13"/>
      <c r="C271" s="212"/>
      <c r="D271" s="213"/>
      <c r="E271" s="13"/>
      <c r="F271" s="153"/>
      <c r="G271" s="165"/>
      <c r="H271" s="165"/>
      <c r="I271" s="165"/>
      <c r="J271" s="223"/>
      <c r="K271" s="223"/>
      <c r="L271" s="223"/>
      <c r="M271" s="224"/>
    </row>
    <row r="272" spans="1:13" s="16" customFormat="1">
      <c r="A272" s="13"/>
      <c r="B272" s="13"/>
      <c r="C272" s="212"/>
      <c r="D272" s="213"/>
      <c r="E272" s="13"/>
      <c r="F272" s="153"/>
      <c r="G272" s="165"/>
      <c r="H272" s="165"/>
      <c r="I272" s="165"/>
      <c r="J272" s="223"/>
      <c r="K272" s="223"/>
      <c r="L272" s="223"/>
      <c r="M272" s="224"/>
    </row>
    <row r="273" spans="1:13" s="16" customFormat="1">
      <c r="A273" s="13"/>
      <c r="B273" s="13"/>
      <c r="C273" s="212"/>
      <c r="D273" s="213"/>
      <c r="E273" s="13"/>
      <c r="F273" s="153"/>
      <c r="G273" s="165"/>
      <c r="H273" s="165"/>
      <c r="I273" s="165"/>
      <c r="J273" s="223"/>
      <c r="K273" s="223"/>
      <c r="L273" s="223"/>
      <c r="M273" s="224"/>
    </row>
    <row r="274" spans="1:13" s="16" customFormat="1">
      <c r="A274" s="13"/>
      <c r="B274" s="13"/>
      <c r="C274" s="212"/>
      <c r="D274" s="213"/>
      <c r="E274" s="13"/>
      <c r="F274" s="153"/>
      <c r="G274" s="165"/>
      <c r="H274" s="165"/>
      <c r="I274" s="165"/>
      <c r="J274" s="223"/>
      <c r="K274" s="223"/>
      <c r="L274" s="223"/>
      <c r="M274" s="224"/>
    </row>
    <row r="275" spans="1:13" s="16" customFormat="1">
      <c r="A275" s="13"/>
      <c r="B275" s="13"/>
      <c r="C275" s="212"/>
      <c r="D275" s="213"/>
      <c r="E275" s="13"/>
      <c r="F275" s="153"/>
      <c r="G275" s="165"/>
      <c r="H275" s="165"/>
      <c r="I275" s="165"/>
      <c r="J275" s="223"/>
      <c r="K275" s="223"/>
      <c r="L275" s="223"/>
      <c r="M275" s="224"/>
    </row>
    <row r="276" spans="1:13" s="16" customFormat="1">
      <c r="A276" s="13"/>
      <c r="B276" s="13"/>
      <c r="C276" s="212"/>
      <c r="D276" s="213"/>
      <c r="E276" s="13"/>
      <c r="F276" s="153"/>
      <c r="G276" s="165"/>
      <c r="H276" s="165"/>
      <c r="I276" s="165"/>
      <c r="J276" s="223"/>
      <c r="K276" s="223"/>
      <c r="L276" s="223"/>
      <c r="M276" s="224"/>
    </row>
    <row r="277" spans="1:13" s="16" customFormat="1">
      <c r="A277" s="13"/>
      <c r="B277" s="13"/>
      <c r="C277" s="212"/>
      <c r="D277" s="213"/>
      <c r="E277" s="13"/>
      <c r="F277" s="153"/>
      <c r="G277" s="165"/>
      <c r="H277" s="165"/>
      <c r="I277" s="165"/>
      <c r="J277" s="223"/>
      <c r="K277" s="223"/>
      <c r="L277" s="223"/>
      <c r="M277" s="224"/>
    </row>
    <row r="278" spans="1:13" s="16" customFormat="1">
      <c r="A278" s="13"/>
      <c r="B278" s="13"/>
      <c r="C278" s="212"/>
      <c r="D278" s="213"/>
      <c r="E278" s="13"/>
      <c r="F278" s="153"/>
      <c r="G278" s="165"/>
      <c r="H278" s="165"/>
      <c r="I278" s="165"/>
      <c r="J278" s="223"/>
      <c r="K278" s="223"/>
      <c r="L278" s="223"/>
      <c r="M278" s="224"/>
    </row>
    <row r="279" spans="1:13" s="16" customFormat="1">
      <c r="A279" s="13"/>
      <c r="B279" s="13"/>
      <c r="C279" s="212"/>
      <c r="D279" s="213"/>
      <c r="E279" s="13"/>
      <c r="F279" s="153"/>
      <c r="G279" s="165"/>
      <c r="H279" s="165"/>
      <c r="I279" s="165"/>
      <c r="J279" s="223"/>
      <c r="K279" s="223"/>
      <c r="L279" s="223"/>
      <c r="M279" s="224"/>
    </row>
    <row r="280" spans="1:13" s="16" customFormat="1">
      <c r="A280" s="13"/>
      <c r="B280" s="13"/>
      <c r="C280" s="212"/>
      <c r="D280" s="213"/>
      <c r="E280" s="13"/>
      <c r="F280" s="153"/>
      <c r="G280" s="165"/>
      <c r="H280" s="165"/>
      <c r="I280" s="165"/>
      <c r="J280" s="223"/>
      <c r="K280" s="223"/>
      <c r="L280" s="223"/>
      <c r="M280" s="224"/>
    </row>
    <row r="281" spans="1:13" s="16" customFormat="1">
      <c r="A281" s="13"/>
      <c r="B281" s="13"/>
      <c r="C281" s="212"/>
      <c r="D281" s="213"/>
      <c r="E281" s="13"/>
      <c r="F281" s="153"/>
      <c r="G281" s="165"/>
      <c r="H281" s="165"/>
      <c r="I281" s="165"/>
      <c r="J281" s="223"/>
      <c r="K281" s="223"/>
      <c r="L281" s="223"/>
      <c r="M281" s="224"/>
    </row>
    <row r="282" spans="1:13" s="16" customFormat="1">
      <c r="A282" s="13"/>
      <c r="B282" s="13"/>
      <c r="C282" s="212"/>
      <c r="D282" s="213"/>
      <c r="E282" s="13"/>
      <c r="F282" s="153"/>
      <c r="G282" s="165"/>
      <c r="H282" s="165"/>
      <c r="I282" s="165"/>
      <c r="J282" s="223"/>
      <c r="K282" s="223"/>
      <c r="L282" s="223"/>
      <c r="M282" s="224"/>
    </row>
    <row r="283" spans="1:13" s="16" customFormat="1">
      <c r="A283" s="13"/>
      <c r="B283" s="13"/>
      <c r="C283" s="212"/>
      <c r="D283" s="213"/>
      <c r="E283" s="13"/>
      <c r="F283" s="153"/>
      <c r="G283" s="165"/>
      <c r="H283" s="165"/>
      <c r="I283" s="165"/>
      <c r="J283" s="223"/>
      <c r="K283" s="223"/>
      <c r="L283" s="223"/>
      <c r="M283" s="224"/>
    </row>
    <row r="284" spans="1:13" s="16" customFormat="1">
      <c r="A284" s="13"/>
      <c r="B284" s="13"/>
      <c r="C284" s="212"/>
      <c r="D284" s="213"/>
      <c r="E284" s="13"/>
      <c r="F284" s="153"/>
      <c r="G284" s="165"/>
      <c r="H284" s="165"/>
      <c r="I284" s="165"/>
      <c r="J284" s="223"/>
      <c r="K284" s="223"/>
      <c r="L284" s="223"/>
      <c r="M284" s="224"/>
    </row>
    <row r="285" spans="1:13" s="16" customFormat="1">
      <c r="A285" s="13"/>
      <c r="B285" s="13"/>
      <c r="C285" s="212"/>
      <c r="D285" s="213"/>
      <c r="E285" s="13"/>
      <c r="F285" s="153"/>
      <c r="G285" s="165"/>
      <c r="H285" s="165"/>
      <c r="I285" s="165"/>
      <c r="J285" s="223"/>
      <c r="K285" s="223"/>
      <c r="L285" s="223"/>
      <c r="M285" s="224"/>
    </row>
    <row r="286" spans="1:13" s="16" customFormat="1">
      <c r="A286" s="13"/>
      <c r="B286" s="13"/>
      <c r="C286" s="212"/>
      <c r="D286" s="213"/>
      <c r="E286" s="13"/>
      <c r="F286" s="153"/>
      <c r="G286" s="165"/>
      <c r="H286" s="165"/>
      <c r="I286" s="165"/>
      <c r="J286" s="223"/>
      <c r="K286" s="223"/>
      <c r="L286" s="223"/>
      <c r="M286" s="224"/>
    </row>
    <row r="287" spans="1:13" s="16" customFormat="1">
      <c r="A287" s="13"/>
      <c r="B287" s="13"/>
      <c r="C287" s="212"/>
      <c r="D287" s="213"/>
      <c r="E287" s="13"/>
      <c r="F287" s="153"/>
      <c r="G287" s="165"/>
      <c r="H287" s="165"/>
      <c r="I287" s="165"/>
      <c r="J287" s="223"/>
      <c r="K287" s="223"/>
      <c r="L287" s="223"/>
      <c r="M287" s="224"/>
    </row>
    <row r="288" spans="1:13" s="16" customFormat="1">
      <c r="A288" s="13"/>
      <c r="B288" s="13"/>
      <c r="C288" s="212"/>
      <c r="D288" s="213"/>
      <c r="E288" s="13"/>
      <c r="F288" s="153"/>
      <c r="G288" s="165"/>
      <c r="H288" s="165"/>
      <c r="I288" s="165"/>
      <c r="J288" s="223"/>
      <c r="K288" s="223"/>
      <c r="L288" s="223"/>
      <c r="M288" s="224"/>
    </row>
    <row r="289" spans="1:13" s="16" customFormat="1">
      <c r="A289" s="13"/>
      <c r="B289" s="13"/>
      <c r="C289" s="212"/>
      <c r="D289" s="213"/>
      <c r="E289" s="13"/>
      <c r="F289" s="153"/>
      <c r="G289" s="165"/>
      <c r="H289" s="165"/>
      <c r="I289" s="165"/>
      <c r="J289" s="223"/>
      <c r="K289" s="223"/>
      <c r="L289" s="223"/>
      <c r="M289" s="224"/>
    </row>
    <row r="290" spans="1:13" s="16" customFormat="1">
      <c r="A290" s="13"/>
      <c r="B290" s="13"/>
      <c r="C290" s="212"/>
      <c r="D290" s="213"/>
      <c r="E290" s="13"/>
      <c r="F290" s="153"/>
      <c r="G290" s="165"/>
      <c r="H290" s="165"/>
      <c r="I290" s="165"/>
      <c r="J290" s="223"/>
      <c r="K290" s="223"/>
      <c r="L290" s="223"/>
      <c r="M290" s="224"/>
    </row>
    <row r="291" spans="1:13" s="16" customFormat="1">
      <c r="A291" s="13"/>
      <c r="B291" s="13"/>
      <c r="C291" s="212"/>
      <c r="D291" s="213"/>
      <c r="E291" s="13"/>
      <c r="F291" s="153"/>
      <c r="G291" s="165"/>
      <c r="H291" s="165"/>
      <c r="I291" s="165"/>
      <c r="J291" s="223"/>
      <c r="K291" s="223"/>
      <c r="L291" s="223"/>
      <c r="M291" s="224"/>
    </row>
    <row r="292" spans="1:13" s="16" customFormat="1">
      <c r="A292" s="13"/>
      <c r="B292" s="13"/>
      <c r="C292" s="212"/>
      <c r="D292" s="213"/>
      <c r="E292" s="13"/>
      <c r="F292" s="153"/>
      <c r="G292" s="165"/>
      <c r="H292" s="165"/>
      <c r="I292" s="165"/>
      <c r="J292" s="223"/>
      <c r="K292" s="223"/>
      <c r="L292" s="223"/>
      <c r="M292" s="224"/>
    </row>
    <row r="293" spans="1:13" s="16" customFormat="1">
      <c r="A293" s="13"/>
      <c r="B293" s="13"/>
      <c r="C293" s="212"/>
      <c r="D293" s="213"/>
      <c r="E293" s="13"/>
      <c r="F293" s="153"/>
      <c r="G293" s="165"/>
      <c r="H293" s="165"/>
      <c r="I293" s="165"/>
      <c r="J293" s="223"/>
      <c r="K293" s="223"/>
      <c r="L293" s="223"/>
      <c r="M293" s="224"/>
    </row>
    <row r="294" spans="1:13" s="16" customFormat="1">
      <c r="A294" s="13"/>
      <c r="B294" s="13"/>
      <c r="C294" s="212"/>
      <c r="D294" s="213"/>
      <c r="E294" s="13"/>
      <c r="F294" s="153"/>
      <c r="G294" s="165"/>
      <c r="H294" s="165"/>
      <c r="I294" s="165"/>
      <c r="J294" s="223"/>
      <c r="K294" s="223"/>
      <c r="L294" s="223"/>
      <c r="M294" s="224"/>
    </row>
    <row r="295" spans="1:13" s="16" customFormat="1">
      <c r="A295" s="13"/>
      <c r="B295" s="13"/>
      <c r="C295" s="212"/>
      <c r="D295" s="213"/>
      <c r="E295" s="13"/>
      <c r="F295" s="153"/>
      <c r="G295" s="165"/>
      <c r="H295" s="165"/>
      <c r="I295" s="165"/>
      <c r="J295" s="223"/>
      <c r="K295" s="223"/>
      <c r="L295" s="223"/>
      <c r="M295" s="224"/>
    </row>
    <row r="296" spans="1:13" s="16" customFormat="1">
      <c r="A296" s="13"/>
      <c r="B296" s="13"/>
      <c r="C296" s="212"/>
      <c r="D296" s="213"/>
      <c r="E296" s="13"/>
      <c r="F296" s="153"/>
      <c r="G296" s="165"/>
      <c r="H296" s="165"/>
      <c r="I296" s="165"/>
      <c r="J296" s="223"/>
      <c r="K296" s="223"/>
      <c r="L296" s="223"/>
      <c r="M296" s="224"/>
    </row>
    <row r="297" spans="1:13" s="16" customFormat="1">
      <c r="A297" s="13"/>
      <c r="B297" s="13"/>
      <c r="C297" s="212"/>
      <c r="D297" s="213"/>
      <c r="E297" s="13"/>
      <c r="F297" s="153"/>
      <c r="G297" s="165"/>
      <c r="H297" s="165"/>
      <c r="I297" s="165"/>
      <c r="J297" s="223"/>
      <c r="K297" s="223"/>
      <c r="L297" s="223"/>
      <c r="M297" s="224"/>
    </row>
    <row r="298" spans="1:13" s="16" customFormat="1">
      <c r="A298" s="13"/>
      <c r="B298" s="13"/>
      <c r="C298" s="212"/>
      <c r="D298" s="213"/>
      <c r="E298" s="13"/>
      <c r="F298" s="153"/>
      <c r="G298" s="165"/>
      <c r="H298" s="165"/>
      <c r="I298" s="165"/>
      <c r="J298" s="223"/>
      <c r="K298" s="223"/>
      <c r="L298" s="223"/>
      <c r="M298" s="224"/>
    </row>
    <row r="299" spans="1:13" s="16" customFormat="1">
      <c r="A299" s="13"/>
      <c r="B299" s="13"/>
      <c r="C299" s="212"/>
      <c r="D299" s="213"/>
      <c r="E299" s="13"/>
      <c r="F299" s="153"/>
      <c r="G299" s="165"/>
      <c r="H299" s="165"/>
      <c r="I299" s="165"/>
      <c r="J299" s="223"/>
      <c r="K299" s="223"/>
      <c r="L299" s="223"/>
      <c r="M299" s="224"/>
    </row>
    <row r="300" spans="1:13" s="16" customFormat="1">
      <c r="A300" s="13"/>
      <c r="B300" s="13"/>
      <c r="C300" s="212"/>
      <c r="D300" s="213"/>
      <c r="E300" s="13"/>
      <c r="F300" s="153"/>
      <c r="G300" s="165"/>
      <c r="H300" s="165"/>
      <c r="I300" s="165"/>
      <c r="J300" s="223"/>
      <c r="K300" s="223"/>
      <c r="L300" s="223"/>
      <c r="M300" s="224"/>
    </row>
    <row r="301" spans="1:13" s="16" customFormat="1">
      <c r="A301" s="13"/>
      <c r="B301" s="13"/>
      <c r="C301" s="212"/>
      <c r="D301" s="213"/>
      <c r="E301" s="13"/>
      <c r="F301" s="153"/>
      <c r="G301" s="165"/>
      <c r="H301" s="165"/>
      <c r="I301" s="165"/>
      <c r="J301" s="223"/>
      <c r="K301" s="223"/>
      <c r="L301" s="223"/>
      <c r="M301" s="224"/>
    </row>
    <row r="302" spans="1:13" s="16" customFormat="1">
      <c r="A302" s="13"/>
      <c r="B302" s="13"/>
      <c r="C302" s="212"/>
      <c r="D302" s="213"/>
      <c r="E302" s="13"/>
      <c r="F302" s="153"/>
      <c r="G302" s="165"/>
      <c r="H302" s="165"/>
      <c r="I302" s="165"/>
      <c r="J302" s="223"/>
      <c r="K302" s="223"/>
      <c r="L302" s="223"/>
      <c r="M302" s="224"/>
    </row>
    <row r="303" spans="1:13" s="16" customFormat="1">
      <c r="A303" s="13"/>
      <c r="B303" s="13"/>
      <c r="C303" s="212"/>
      <c r="D303" s="213"/>
      <c r="E303" s="13"/>
      <c r="F303" s="153"/>
      <c r="G303" s="165"/>
      <c r="H303" s="165"/>
      <c r="I303" s="165"/>
      <c r="J303" s="223"/>
      <c r="K303" s="223"/>
      <c r="L303" s="223"/>
      <c r="M303" s="224"/>
    </row>
    <row r="304" spans="1:13" s="16" customFormat="1">
      <c r="A304" s="13"/>
      <c r="B304" s="13"/>
      <c r="C304" s="212"/>
      <c r="D304" s="213"/>
      <c r="E304" s="13"/>
      <c r="F304" s="153"/>
      <c r="G304" s="165"/>
      <c r="H304" s="165"/>
      <c r="I304" s="165"/>
      <c r="J304" s="223"/>
      <c r="K304" s="223"/>
      <c r="L304" s="223"/>
      <c r="M304" s="224"/>
    </row>
    <row r="305" spans="1:13" s="16" customFormat="1">
      <c r="A305" s="13"/>
      <c r="B305" s="13"/>
      <c r="C305" s="212"/>
      <c r="D305" s="213"/>
      <c r="E305" s="13"/>
      <c r="F305" s="153"/>
      <c r="G305" s="165"/>
      <c r="H305" s="165"/>
      <c r="I305" s="165"/>
      <c r="J305" s="223"/>
      <c r="K305" s="223"/>
      <c r="L305" s="223"/>
      <c r="M305" s="224"/>
    </row>
    <row r="306" spans="1:13" s="16" customFormat="1">
      <c r="A306" s="13"/>
      <c r="B306" s="13"/>
      <c r="C306" s="212"/>
      <c r="D306" s="213"/>
      <c r="E306" s="13"/>
      <c r="F306" s="153"/>
      <c r="G306" s="165"/>
      <c r="H306" s="165"/>
      <c r="I306" s="165"/>
      <c r="J306" s="223"/>
      <c r="K306" s="223"/>
      <c r="L306" s="223"/>
      <c r="M306" s="224"/>
    </row>
    <row r="307" spans="1:13" s="16" customFormat="1">
      <c r="A307" s="13"/>
      <c r="B307" s="13"/>
      <c r="C307" s="212"/>
      <c r="D307" s="213"/>
      <c r="E307" s="13"/>
      <c r="F307" s="153"/>
      <c r="G307" s="165"/>
      <c r="H307" s="165"/>
      <c r="I307" s="165"/>
      <c r="J307" s="223"/>
      <c r="K307" s="223"/>
      <c r="L307" s="223"/>
      <c r="M307" s="224"/>
    </row>
    <row r="308" spans="1:13" s="16" customFormat="1">
      <c r="A308" s="13"/>
      <c r="B308" s="13"/>
      <c r="C308" s="212"/>
      <c r="D308" s="213"/>
      <c r="E308" s="13"/>
      <c r="F308" s="153"/>
      <c r="G308" s="165"/>
      <c r="H308" s="165"/>
      <c r="I308" s="165"/>
      <c r="J308" s="223"/>
      <c r="K308" s="223"/>
      <c r="L308" s="223"/>
      <c r="M308" s="224"/>
    </row>
    <row r="309" spans="1:13" s="16" customFormat="1">
      <c r="A309" s="13"/>
      <c r="B309" s="13"/>
      <c r="C309" s="212"/>
      <c r="D309" s="213"/>
      <c r="E309" s="13"/>
      <c r="F309" s="153"/>
      <c r="G309" s="165"/>
      <c r="H309" s="165"/>
      <c r="I309" s="165"/>
      <c r="J309" s="223"/>
      <c r="K309" s="223"/>
      <c r="L309" s="223"/>
      <c r="M309" s="224"/>
    </row>
    <row r="310" spans="1:13" s="16" customFormat="1">
      <c r="A310" s="13"/>
      <c r="B310" s="13"/>
      <c r="C310" s="212"/>
      <c r="D310" s="213"/>
      <c r="E310" s="13"/>
      <c r="F310" s="153"/>
      <c r="G310" s="165"/>
      <c r="H310" s="165"/>
      <c r="I310" s="165"/>
      <c r="J310" s="223"/>
      <c r="K310" s="223"/>
      <c r="L310" s="223"/>
      <c r="M310" s="224"/>
    </row>
    <row r="311" spans="1:13" s="16" customFormat="1">
      <c r="A311" s="13"/>
      <c r="B311" s="13"/>
      <c r="C311" s="212"/>
      <c r="D311" s="213"/>
      <c r="E311" s="13"/>
      <c r="F311" s="153"/>
      <c r="G311" s="165"/>
      <c r="H311" s="165"/>
      <c r="I311" s="165"/>
      <c r="J311" s="223"/>
      <c r="K311" s="223"/>
      <c r="L311" s="223"/>
      <c r="M311" s="224"/>
    </row>
    <row r="312" spans="1:13" s="16" customFormat="1">
      <c r="A312" s="13"/>
      <c r="B312" s="13"/>
      <c r="C312" s="212"/>
      <c r="D312" s="213"/>
      <c r="E312" s="13"/>
      <c r="F312" s="153"/>
      <c r="G312" s="165"/>
      <c r="H312" s="165"/>
      <c r="I312" s="165"/>
      <c r="J312" s="223"/>
      <c r="K312" s="223"/>
      <c r="L312" s="223"/>
      <c r="M312" s="224"/>
    </row>
    <row r="313" spans="1:13" s="16" customFormat="1">
      <c r="A313" s="13"/>
      <c r="B313" s="13"/>
      <c r="C313" s="212"/>
      <c r="D313" s="213"/>
      <c r="E313" s="13"/>
      <c r="F313" s="153"/>
      <c r="G313" s="165"/>
      <c r="H313" s="165"/>
      <c r="I313" s="165"/>
      <c r="J313" s="223"/>
      <c r="K313" s="223"/>
      <c r="L313" s="223"/>
      <c r="M313" s="224"/>
    </row>
    <row r="314" spans="1:13" s="16" customFormat="1">
      <c r="A314" s="13"/>
      <c r="B314" s="13"/>
      <c r="C314" s="212"/>
      <c r="D314" s="213"/>
      <c r="E314" s="13"/>
      <c r="F314" s="153"/>
      <c r="G314" s="165"/>
      <c r="H314" s="165"/>
      <c r="I314" s="165"/>
      <c r="J314" s="223"/>
      <c r="K314" s="223"/>
      <c r="L314" s="223"/>
      <c r="M314" s="224"/>
    </row>
    <row r="315" spans="1:13" s="16" customFormat="1">
      <c r="A315" s="13"/>
      <c r="B315" s="13"/>
      <c r="C315" s="212"/>
      <c r="D315" s="213"/>
      <c r="E315" s="13"/>
      <c r="F315" s="153"/>
      <c r="G315" s="165"/>
      <c r="H315" s="165"/>
      <c r="I315" s="165"/>
      <c r="J315" s="223"/>
      <c r="K315" s="223"/>
      <c r="L315" s="223"/>
      <c r="M315" s="224"/>
    </row>
    <row r="316" spans="1:13" s="16" customFormat="1">
      <c r="A316" s="13"/>
      <c r="B316" s="13"/>
      <c r="C316" s="212"/>
      <c r="D316" s="213"/>
      <c r="E316" s="13"/>
      <c r="F316" s="153"/>
      <c r="G316" s="165"/>
      <c r="H316" s="165"/>
      <c r="I316" s="165"/>
      <c r="J316" s="223"/>
      <c r="K316" s="223"/>
      <c r="L316" s="223"/>
      <c r="M316" s="224"/>
    </row>
    <row r="317" spans="1:13" s="16" customFormat="1">
      <c r="A317" s="13"/>
      <c r="B317" s="13"/>
      <c r="C317" s="212"/>
      <c r="D317" s="213"/>
      <c r="E317" s="13"/>
      <c r="F317" s="153"/>
      <c r="G317" s="165"/>
      <c r="H317" s="165"/>
      <c r="I317" s="165"/>
      <c r="J317" s="223"/>
      <c r="K317" s="223"/>
      <c r="L317" s="223"/>
      <c r="M317" s="224"/>
    </row>
    <row r="318" spans="1:13" s="16" customFormat="1">
      <c r="A318" s="13"/>
      <c r="B318" s="13"/>
      <c r="C318" s="212"/>
      <c r="D318" s="213"/>
      <c r="E318" s="13"/>
      <c r="F318" s="153"/>
      <c r="G318" s="165"/>
      <c r="H318" s="165"/>
      <c r="I318" s="165"/>
      <c r="J318" s="223"/>
      <c r="K318" s="223"/>
      <c r="L318" s="223"/>
      <c r="M318" s="224"/>
    </row>
    <row r="319" spans="1:13" s="16" customFormat="1">
      <c r="A319" s="13"/>
      <c r="B319" s="13"/>
      <c r="C319" s="212"/>
      <c r="D319" s="213"/>
      <c r="E319" s="13"/>
      <c r="F319" s="153"/>
      <c r="G319" s="165"/>
      <c r="H319" s="165"/>
      <c r="I319" s="165"/>
      <c r="J319" s="223"/>
      <c r="K319" s="223"/>
      <c r="L319" s="223"/>
      <c r="M319" s="224"/>
    </row>
    <row r="320" spans="1:13" s="16" customFormat="1">
      <c r="A320" s="13"/>
      <c r="B320" s="13"/>
      <c r="C320" s="212"/>
      <c r="D320" s="213"/>
      <c r="E320" s="13"/>
      <c r="F320" s="153"/>
      <c r="G320" s="165"/>
      <c r="H320" s="165"/>
      <c r="I320" s="165"/>
      <c r="J320" s="223"/>
      <c r="K320" s="223"/>
      <c r="L320" s="223"/>
      <c r="M320" s="224"/>
    </row>
    <row r="321" spans="1:24" s="16" customFormat="1">
      <c r="A321" s="13"/>
      <c r="B321" s="13"/>
      <c r="C321" s="212"/>
      <c r="D321" s="213"/>
      <c r="E321" s="13"/>
      <c r="F321" s="153"/>
      <c r="G321" s="165"/>
      <c r="H321" s="165"/>
      <c r="I321" s="165"/>
      <c r="J321" s="223"/>
      <c r="K321" s="223"/>
      <c r="L321" s="223"/>
      <c r="M321" s="224"/>
    </row>
    <row r="322" spans="1:24" s="16" customFormat="1">
      <c r="A322" s="13"/>
      <c r="B322" s="13"/>
      <c r="C322" s="212"/>
      <c r="D322" s="213"/>
      <c r="E322" s="13"/>
      <c r="F322" s="153"/>
      <c r="G322" s="165"/>
      <c r="H322" s="165"/>
      <c r="I322" s="165"/>
      <c r="J322" s="223"/>
      <c r="K322" s="223"/>
      <c r="L322" s="223"/>
      <c r="M322" s="224"/>
    </row>
    <row r="323" spans="1:24" s="16" customFormat="1">
      <c r="A323" s="13"/>
      <c r="B323" s="13"/>
      <c r="C323" s="212"/>
      <c r="D323" s="213"/>
      <c r="E323" s="13"/>
      <c r="F323" s="153"/>
      <c r="G323" s="165"/>
      <c r="H323" s="165"/>
      <c r="I323" s="165"/>
      <c r="J323" s="223"/>
      <c r="K323" s="223"/>
      <c r="L323" s="223"/>
      <c r="M323" s="224"/>
    </row>
    <row r="324" spans="1:24" s="16" customFormat="1">
      <c r="A324" s="13"/>
      <c r="B324" s="13"/>
      <c r="C324" s="212"/>
      <c r="D324" s="213"/>
      <c r="E324" s="13"/>
      <c r="F324" s="153"/>
      <c r="G324" s="165"/>
      <c r="H324" s="165"/>
      <c r="I324" s="165"/>
      <c r="J324" s="223"/>
      <c r="K324" s="223"/>
      <c r="L324" s="223"/>
      <c r="M324" s="224"/>
    </row>
    <row r="325" spans="1:24" s="16" customFormat="1">
      <c r="A325" s="13"/>
      <c r="B325" s="13"/>
      <c r="C325" s="212"/>
      <c r="D325" s="213"/>
      <c r="E325" s="13"/>
      <c r="F325" s="153"/>
      <c r="G325" s="165"/>
      <c r="H325" s="165"/>
      <c r="I325" s="165"/>
      <c r="J325" s="223"/>
      <c r="K325" s="223"/>
      <c r="L325" s="223"/>
      <c r="M325" s="224"/>
    </row>
    <row r="326" spans="1:24" s="16" customFormat="1">
      <c r="A326" s="13"/>
      <c r="B326" s="13"/>
      <c r="C326" s="212"/>
      <c r="D326" s="213"/>
      <c r="E326" s="13"/>
      <c r="F326" s="153"/>
      <c r="G326" s="165"/>
      <c r="H326" s="165"/>
      <c r="I326" s="165"/>
      <c r="J326" s="223"/>
      <c r="K326" s="223"/>
      <c r="L326" s="223"/>
      <c r="M326" s="224"/>
    </row>
    <row r="327" spans="1:24">
      <c r="D327" s="213"/>
      <c r="K327" s="223"/>
    </row>
    <row r="328" spans="1:24">
      <c r="D328" s="213"/>
      <c r="K328" s="223"/>
    </row>
    <row r="329" spans="1:24">
      <c r="D329" s="213"/>
      <c r="K329" s="223"/>
    </row>
    <row r="330" spans="1:24">
      <c r="D330" s="213"/>
      <c r="K330" s="223"/>
    </row>
    <row r="331" spans="1:24">
      <c r="D331" s="213"/>
      <c r="K331" s="223"/>
    </row>
    <row r="332" spans="1:24">
      <c r="D332" s="213"/>
      <c r="K332" s="223"/>
    </row>
    <row r="333" spans="1:24">
      <c r="D333" s="213"/>
      <c r="K333" s="223"/>
    </row>
    <row r="334" spans="1:24" s="229" customFormat="1">
      <c r="A334" s="8"/>
      <c r="B334" s="8"/>
      <c r="C334" s="152"/>
      <c r="D334" s="213"/>
      <c r="E334" s="8"/>
      <c r="F334" s="153"/>
      <c r="G334" s="154"/>
      <c r="H334" s="154"/>
      <c r="I334" s="154"/>
      <c r="K334" s="223"/>
      <c r="M334" s="230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s="229" customFormat="1">
      <c r="A335" s="8"/>
      <c r="B335" s="8"/>
      <c r="C335" s="152"/>
      <c r="D335" s="213"/>
      <c r="E335" s="8"/>
      <c r="F335" s="153"/>
      <c r="G335" s="154"/>
      <c r="H335" s="154"/>
      <c r="I335" s="154"/>
      <c r="K335" s="223"/>
      <c r="M335" s="230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s="229" customFormat="1">
      <c r="A336" s="8"/>
      <c r="B336" s="8"/>
      <c r="C336" s="152"/>
      <c r="D336" s="213"/>
      <c r="E336" s="8"/>
      <c r="F336" s="153"/>
      <c r="G336" s="154"/>
      <c r="H336" s="154"/>
      <c r="I336" s="154"/>
      <c r="K336" s="223"/>
      <c r="M336" s="230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s="229" customFormat="1">
      <c r="A337" s="8"/>
      <c r="B337" s="8"/>
      <c r="C337" s="152"/>
      <c r="D337" s="213"/>
      <c r="E337" s="8"/>
      <c r="F337" s="153"/>
      <c r="G337" s="154"/>
      <c r="H337" s="154"/>
      <c r="I337" s="154"/>
      <c r="K337" s="223"/>
      <c r="M337" s="230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s="229" customFormat="1">
      <c r="A338" s="8"/>
      <c r="B338" s="8"/>
      <c r="C338" s="152"/>
      <c r="D338" s="213"/>
      <c r="E338" s="8"/>
      <c r="F338" s="153"/>
      <c r="G338" s="154"/>
      <c r="H338" s="154"/>
      <c r="I338" s="154"/>
      <c r="K338" s="223"/>
      <c r="M338" s="230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s="229" customFormat="1">
      <c r="A339" s="8"/>
      <c r="B339" s="8"/>
      <c r="C339" s="152"/>
      <c r="D339" s="213"/>
      <c r="E339" s="8"/>
      <c r="F339" s="153"/>
      <c r="G339" s="154"/>
      <c r="H339" s="154"/>
      <c r="I339" s="154"/>
      <c r="M339" s="230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s="229" customFormat="1">
      <c r="A340" s="8"/>
      <c r="B340" s="8"/>
      <c r="C340" s="152"/>
      <c r="D340" s="213"/>
      <c r="E340" s="8"/>
      <c r="F340" s="153"/>
      <c r="G340" s="154"/>
      <c r="H340" s="154"/>
      <c r="I340" s="154"/>
      <c r="M340" s="230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s="229" customFormat="1">
      <c r="A341" s="8"/>
      <c r="B341" s="8"/>
      <c r="C341" s="152"/>
      <c r="D341" s="213"/>
      <c r="E341" s="8"/>
      <c r="F341" s="153"/>
      <c r="G341" s="154"/>
      <c r="H341" s="154"/>
      <c r="I341" s="154"/>
      <c r="M341" s="230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s="229" customFormat="1">
      <c r="A342" s="8"/>
      <c r="B342" s="8"/>
      <c r="C342" s="152"/>
      <c r="D342" s="213"/>
      <c r="E342" s="8"/>
      <c r="F342" s="153"/>
      <c r="G342" s="154"/>
      <c r="H342" s="154"/>
      <c r="I342" s="154"/>
      <c r="M342" s="230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s="229" customFormat="1">
      <c r="A343" s="8"/>
      <c r="B343" s="8"/>
      <c r="C343" s="152"/>
      <c r="D343" s="213"/>
      <c r="E343" s="8"/>
      <c r="F343" s="153"/>
      <c r="G343" s="154"/>
      <c r="H343" s="154"/>
      <c r="I343" s="154"/>
      <c r="M343" s="230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s="229" customFormat="1">
      <c r="A344" s="8"/>
      <c r="B344" s="8"/>
      <c r="C344" s="152"/>
      <c r="D344" s="213"/>
      <c r="E344" s="8"/>
      <c r="F344" s="153"/>
      <c r="G344" s="154"/>
      <c r="H344" s="154"/>
      <c r="I344" s="154"/>
      <c r="M344" s="230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s="229" customFormat="1">
      <c r="A345" s="8"/>
      <c r="B345" s="8"/>
      <c r="C345" s="152"/>
      <c r="D345" s="213"/>
      <c r="E345" s="8"/>
      <c r="F345" s="153"/>
      <c r="G345" s="154"/>
      <c r="H345" s="154"/>
      <c r="I345" s="154"/>
      <c r="M345" s="230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s="229" customFormat="1">
      <c r="A346" s="8"/>
      <c r="B346" s="8"/>
      <c r="C346" s="152"/>
      <c r="D346" s="213"/>
      <c r="E346" s="8"/>
      <c r="F346" s="153"/>
      <c r="G346" s="154"/>
      <c r="H346" s="154"/>
      <c r="I346" s="154"/>
      <c r="M346" s="230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s="229" customFormat="1">
      <c r="A347" s="8"/>
      <c r="B347" s="8"/>
      <c r="C347" s="152"/>
      <c r="D347" s="213"/>
      <c r="E347" s="8"/>
      <c r="F347" s="153"/>
      <c r="G347" s="154"/>
      <c r="H347" s="154"/>
      <c r="I347" s="154"/>
      <c r="M347" s="230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s="229" customFormat="1">
      <c r="A348" s="8"/>
      <c r="B348" s="8"/>
      <c r="C348" s="152"/>
      <c r="D348" s="213"/>
      <c r="E348" s="8"/>
      <c r="F348" s="153"/>
      <c r="G348" s="154"/>
      <c r="H348" s="154"/>
      <c r="I348" s="154"/>
      <c r="M348" s="230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s="229" customFormat="1">
      <c r="A349" s="8"/>
      <c r="B349" s="8"/>
      <c r="C349" s="152"/>
      <c r="D349" s="213"/>
      <c r="E349" s="8"/>
      <c r="F349" s="153"/>
      <c r="G349" s="154"/>
      <c r="H349" s="154"/>
      <c r="I349" s="154"/>
      <c r="M349" s="230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s="8" customFormat="1">
      <c r="C350" s="152"/>
      <c r="D350" s="213"/>
      <c r="F350" s="153"/>
      <c r="G350" s="154"/>
      <c r="H350" s="154"/>
      <c r="I350" s="154"/>
      <c r="J350" s="229"/>
      <c r="K350" s="229"/>
      <c r="L350" s="229"/>
      <c r="M350" s="230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s="8" customFormat="1">
      <c r="C351" s="152"/>
      <c r="D351" s="213"/>
      <c r="F351" s="153"/>
      <c r="G351" s="154"/>
      <c r="H351" s="154"/>
      <c r="I351" s="154"/>
      <c r="J351" s="229"/>
      <c r="K351" s="229"/>
      <c r="L351" s="229"/>
      <c r="M351" s="230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s="8" customFormat="1">
      <c r="C352" s="152"/>
      <c r="D352" s="213"/>
      <c r="F352" s="153"/>
      <c r="G352" s="154"/>
      <c r="H352" s="154"/>
      <c r="I352" s="154"/>
      <c r="J352" s="229"/>
      <c r="K352" s="229"/>
      <c r="L352" s="229"/>
      <c r="M352" s="230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3:24" s="8" customFormat="1">
      <c r="C353" s="152"/>
      <c r="D353" s="213"/>
      <c r="F353" s="153"/>
      <c r="G353" s="154"/>
      <c r="H353" s="154"/>
      <c r="I353" s="154"/>
      <c r="J353" s="229"/>
      <c r="K353" s="229"/>
      <c r="L353" s="229"/>
      <c r="M353" s="230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3:24" s="8" customFormat="1">
      <c r="C354" s="152"/>
      <c r="D354" s="213"/>
      <c r="F354" s="153"/>
      <c r="G354" s="154"/>
      <c r="H354" s="154"/>
      <c r="I354" s="154"/>
      <c r="J354" s="229"/>
      <c r="K354" s="229"/>
      <c r="L354" s="229"/>
      <c r="M354" s="230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3:24" s="8" customFormat="1">
      <c r="C355" s="152"/>
      <c r="D355" s="213"/>
      <c r="F355" s="153"/>
      <c r="G355" s="154"/>
      <c r="H355" s="154"/>
      <c r="I355" s="154"/>
      <c r="J355" s="229"/>
      <c r="K355" s="229"/>
      <c r="L355" s="229"/>
      <c r="M355" s="230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3:24" s="8" customFormat="1">
      <c r="C356" s="152"/>
      <c r="D356" s="213"/>
      <c r="F356" s="153"/>
      <c r="G356" s="154"/>
      <c r="H356" s="154"/>
      <c r="I356" s="154"/>
      <c r="J356" s="229"/>
      <c r="K356" s="229"/>
      <c r="L356" s="229"/>
      <c r="M356" s="230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3:24" s="8" customFormat="1">
      <c r="C357" s="152"/>
      <c r="D357" s="213"/>
      <c r="F357" s="153"/>
      <c r="G357" s="154"/>
      <c r="H357" s="154"/>
      <c r="I357" s="154"/>
      <c r="J357" s="229"/>
      <c r="K357" s="229"/>
      <c r="L357" s="229"/>
      <c r="M357" s="230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3:24" s="8" customFormat="1">
      <c r="C358" s="152"/>
      <c r="D358" s="213"/>
      <c r="F358" s="153"/>
      <c r="G358" s="154"/>
      <c r="H358" s="154"/>
      <c r="I358" s="154"/>
      <c r="J358" s="229"/>
      <c r="K358" s="229"/>
      <c r="L358" s="229"/>
      <c r="M358" s="230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3:24" s="8" customFormat="1">
      <c r="C359" s="152"/>
      <c r="D359" s="213"/>
      <c r="F359" s="153"/>
      <c r="G359" s="154"/>
      <c r="H359" s="154"/>
      <c r="I359" s="154"/>
      <c r="J359" s="229"/>
      <c r="K359" s="229"/>
      <c r="L359" s="229"/>
      <c r="M359" s="230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3:24" s="8" customFormat="1">
      <c r="C360" s="152"/>
      <c r="D360" s="213"/>
      <c r="F360" s="153"/>
      <c r="G360" s="154"/>
      <c r="H360" s="154"/>
      <c r="I360" s="154"/>
      <c r="J360" s="229"/>
      <c r="K360" s="229"/>
      <c r="L360" s="229"/>
      <c r="M360" s="230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3:24" s="8" customFormat="1">
      <c r="C361" s="152"/>
      <c r="D361" s="213"/>
      <c r="F361" s="153"/>
      <c r="G361" s="154"/>
      <c r="H361" s="154"/>
      <c r="I361" s="154"/>
      <c r="J361" s="229"/>
      <c r="K361" s="229"/>
      <c r="L361" s="229"/>
      <c r="M361" s="230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3:24" s="8" customFormat="1">
      <c r="C362" s="152"/>
      <c r="D362" s="213"/>
      <c r="F362" s="153"/>
      <c r="G362" s="154"/>
      <c r="H362" s="154"/>
      <c r="I362" s="154"/>
      <c r="J362" s="229"/>
      <c r="K362" s="229"/>
      <c r="L362" s="229"/>
      <c r="M362" s="230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3:24" s="8" customFormat="1">
      <c r="C363" s="152"/>
      <c r="D363" s="213"/>
      <c r="F363" s="153"/>
      <c r="G363" s="154"/>
      <c r="H363" s="154"/>
      <c r="I363" s="154"/>
      <c r="J363" s="229"/>
      <c r="K363" s="229"/>
      <c r="L363" s="229"/>
      <c r="M363" s="230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3:24" s="8" customFormat="1">
      <c r="C364" s="152"/>
      <c r="D364" s="213"/>
      <c r="F364" s="153"/>
      <c r="G364" s="154"/>
      <c r="H364" s="154"/>
      <c r="I364" s="154"/>
      <c r="J364" s="229"/>
      <c r="K364" s="229"/>
      <c r="L364" s="229"/>
      <c r="M364" s="230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3:24" s="8" customFormat="1">
      <c r="C365" s="152"/>
      <c r="D365" s="213"/>
      <c r="F365" s="153"/>
      <c r="G365" s="154"/>
      <c r="H365" s="154"/>
      <c r="I365" s="154"/>
      <c r="J365" s="229"/>
      <c r="K365" s="229"/>
      <c r="L365" s="229"/>
      <c r="M365" s="230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</sheetData>
  <autoFilter ref="C9:O197">
    <sortState ref="C10:O197">
      <sortCondition ref="D9:D197"/>
    </sortState>
  </autoFilter>
  <pageMargins left="0" right="0" top="0.5" bottom="0.5" header="0.25" footer="0.25"/>
  <pageSetup scale="78" fitToHeight="10" orientation="landscape" r:id="rId1"/>
  <headerFooter alignWithMargins="0">
    <oddFooter>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02"/>
  <sheetViews>
    <sheetView showGridLines="0" zoomScale="75" zoomScaleNormal="75" workbookViewId="0"/>
  </sheetViews>
  <sheetFormatPr defaultColWidth="8" defaultRowHeight="12.75"/>
  <cols>
    <col min="1" max="1" width="2.85546875" style="231" customWidth="1"/>
    <col min="2" max="2" width="25.28515625" style="231" customWidth="1"/>
    <col min="3" max="9" width="15.7109375" style="231" customWidth="1"/>
    <col min="10" max="10" width="15.7109375" style="232" customWidth="1"/>
    <col min="11" max="13" width="15.7109375" style="231" customWidth="1"/>
    <col min="14" max="14" width="8" style="233"/>
    <col min="15" max="16384" width="8" style="231"/>
  </cols>
  <sheetData>
    <row r="2" spans="2:13">
      <c r="B2" s="234" t="s">
        <v>186</v>
      </c>
      <c r="C2" s="235"/>
      <c r="D2" s="235"/>
      <c r="E2" s="235"/>
      <c r="F2" s="235"/>
      <c r="G2" s="235"/>
      <c r="H2" s="235"/>
      <c r="I2" s="235"/>
      <c r="J2" s="236"/>
      <c r="K2" s="235"/>
      <c r="L2" s="235"/>
      <c r="M2" s="235"/>
    </row>
    <row r="4" spans="2:13">
      <c r="B4" s="237" t="s">
        <v>136</v>
      </c>
      <c r="C4" s="238">
        <f>Projection!C14</f>
        <v>52000000</v>
      </c>
      <c r="D4" s="239"/>
      <c r="G4" s="240"/>
      <c r="H4" s="241" t="s">
        <v>137</v>
      </c>
      <c r="I4" s="242">
        <f>Projection!C19</f>
        <v>7</v>
      </c>
      <c r="L4" s="243" t="str">
        <f>IF(Projection!C21&gt;0,'Amort. Schedule'!L5,'Amort. Schedule'!L6)</f>
        <v>3 years of interest only</v>
      </c>
      <c r="M4" s="244"/>
    </row>
    <row r="5" spans="2:13">
      <c r="B5" s="245" t="s">
        <v>52</v>
      </c>
      <c r="C5" s="246">
        <f>Projection!C16</f>
        <v>4.2500000000000003E-2</v>
      </c>
      <c r="D5" s="246"/>
      <c r="H5" s="241" t="s">
        <v>138</v>
      </c>
      <c r="I5" s="247">
        <f>DATE(YEAR(Projection!$C$17),MONTH(Projection!$C$17),1)</f>
        <v>42795</v>
      </c>
      <c r="L5" s="248" t="str">
        <f>""&amp;TEXT(Projection!C21,"0")&amp;" years of interest only"</f>
        <v>3 years of interest only</v>
      </c>
      <c r="M5" s="244"/>
    </row>
    <row r="6" spans="2:13">
      <c r="B6" s="245" t="s">
        <v>139</v>
      </c>
      <c r="C6" s="246">
        <f>C5/12</f>
        <v>3.5416666666666669E-3</v>
      </c>
      <c r="D6" s="246"/>
      <c r="G6" s="249"/>
      <c r="H6" s="250" t="s">
        <v>140</v>
      </c>
      <c r="I6" s="251">
        <f>DATE(YEAR(I5),MONTH(I5)+Projection!$C$21*12,1)</f>
        <v>43891</v>
      </c>
      <c r="L6" s="248" t="str">
        <f>"no interest only"</f>
        <v>no interest only</v>
      </c>
      <c r="M6" s="252"/>
    </row>
    <row r="7" spans="2:13">
      <c r="B7" s="245" t="s">
        <v>64</v>
      </c>
      <c r="C7" s="253">
        <f>Projection!C20</f>
        <v>30</v>
      </c>
      <c r="H7" s="250" t="s">
        <v>141</v>
      </c>
      <c r="I7" s="255">
        <f>I5</f>
        <v>42795</v>
      </c>
    </row>
    <row r="8" spans="2:13">
      <c r="B8" s="245" t="s">
        <v>142</v>
      </c>
      <c r="C8" s="231">
        <f>C7*12</f>
        <v>360</v>
      </c>
      <c r="H8" s="250" t="s">
        <v>143</v>
      </c>
      <c r="I8" s="256">
        <f>IF(I6&gt;I7,(YEARFRAC(I7,I6)),0)</f>
        <v>3</v>
      </c>
    </row>
    <row r="9" spans="2:13">
      <c r="B9" s="245" t="s">
        <v>144</v>
      </c>
      <c r="C9" s="257">
        <f>C10/12</f>
        <v>255808.74336133149</v>
      </c>
      <c r="D9" s="258"/>
      <c r="H9" s="259" t="s">
        <v>143</v>
      </c>
      <c r="I9" s="260">
        <f>I8*12</f>
        <v>36</v>
      </c>
    </row>
    <row r="10" spans="2:13">
      <c r="B10" s="245" t="s">
        <v>145</v>
      </c>
      <c r="C10" s="261">
        <f>PMT(C5/12,C8,C4)*-12</f>
        <v>3069704.9203359778</v>
      </c>
      <c r="D10" s="261"/>
      <c r="I10" s="232"/>
    </row>
    <row r="11" spans="2:13">
      <c r="I11" s="232"/>
    </row>
    <row r="12" spans="2:13">
      <c r="I12" s="232"/>
    </row>
    <row r="13" spans="2:13">
      <c r="B13" s="361" t="str">
        <f>"Fixed-Rate "&amp;TEXT(I4,"0")&amp;"-Year Loan"</f>
        <v>Fixed-Rate 7-Year Loan</v>
      </c>
      <c r="C13" s="362"/>
      <c r="D13" s="362"/>
      <c r="E13" s="362"/>
      <c r="F13" s="363"/>
      <c r="H13" s="263" t="s">
        <v>146</v>
      </c>
      <c r="I13" s="264" t="s">
        <v>147</v>
      </c>
    </row>
    <row r="14" spans="2:13">
      <c r="B14" s="364" t="s">
        <v>148</v>
      </c>
      <c r="C14" s="265" t="s">
        <v>149</v>
      </c>
      <c r="D14" s="265" t="s">
        <v>150</v>
      </c>
      <c r="E14" s="265" t="s">
        <v>151</v>
      </c>
      <c r="F14" s="365" t="s">
        <v>152</v>
      </c>
      <c r="H14" s="266" t="s">
        <v>153</v>
      </c>
      <c r="I14" s="267" t="s">
        <v>153</v>
      </c>
    </row>
    <row r="15" spans="2:13">
      <c r="B15" s="374">
        <v>1</v>
      </c>
      <c r="C15" s="268">
        <f>IF($B15&lt;=$I$4,(SUMIFS('Amort. Schedule'!$H$39:$H$158,'Amort. Schedule'!$E$39:$E$158,"&gt;="&amp;'Amort. Schedule'!$H15,$E$39:$E$158,"&lt;="&amp;'Amort. Schedule'!$I15)),"")</f>
        <v>2210000.0000000005</v>
      </c>
      <c r="D15" s="268">
        <f>IF($B15&lt;=$I$4,(SUMIFS('Amort. Schedule'!$I$39:$I$158,'Amort. Schedule'!$E$39:$E$158,"&gt;="&amp;'Amort. Schedule'!$H15,$E$39:$E$158,"&lt;="&amp;'Amort. Schedule'!$I15)),"")</f>
        <v>0</v>
      </c>
      <c r="E15" s="268">
        <f>IF($B15&lt;=$I$4,(LOOKUP('Amort. Schedule'!I15,$E$39:$E$158,$J$39:$J$158)),"")</f>
        <v>52000000</v>
      </c>
      <c r="F15" s="367">
        <f t="shared" ref="F15:F24" si="0">SUM(C15:D15)</f>
        <v>2210000.0000000005</v>
      </c>
      <c r="H15" s="373">
        <v>1</v>
      </c>
      <c r="I15" s="270">
        <v>12</v>
      </c>
    </row>
    <row r="16" spans="2:13">
      <c r="B16" s="366">
        <f>B15+1</f>
        <v>2</v>
      </c>
      <c r="C16" s="268">
        <f>IF($B16&lt;=$I$4,(SUMIFS('Amort. Schedule'!$H$39:$H$158,'Amort. Schedule'!$E$39:$E$158,"&gt;="&amp;'Amort. Schedule'!$H16,$E$39:$E$158,"&lt;="&amp;'Amort. Schedule'!$I16)),"")</f>
        <v>2210000.0000000005</v>
      </c>
      <c r="D16" s="268">
        <f>IF($B16&lt;=$I$4,(SUMIFS('Amort. Schedule'!$I$39:$I$158,'Amort. Schedule'!$E$39:$E$158,"&gt;="&amp;'Amort. Schedule'!$H16,$E$39:$E$158,"&lt;="&amp;'Amort. Schedule'!$I16)),"")</f>
        <v>0</v>
      </c>
      <c r="E16" s="268">
        <f>IF($B16&lt;=$I$4,(LOOKUP('Amort. Schedule'!I16,$E$39:$E$158,$J$39:$J$158)),"")</f>
        <v>52000000</v>
      </c>
      <c r="F16" s="367">
        <f t="shared" si="0"/>
        <v>2210000.0000000005</v>
      </c>
      <c r="H16" s="269">
        <f t="shared" ref="H16:H24" si="1">I15+1</f>
        <v>13</v>
      </c>
      <c r="I16" s="270">
        <f t="shared" ref="I16:I24" si="2">H16+11</f>
        <v>24</v>
      </c>
    </row>
    <row r="17" spans="2:13">
      <c r="B17" s="366">
        <f t="shared" ref="B17:B25" si="3">B16+1</f>
        <v>3</v>
      </c>
      <c r="C17" s="268">
        <f>IF($B17&lt;=$I$4,(SUMIFS('Amort. Schedule'!$H$39:$H$158,'Amort. Schedule'!$E$39:$E$158,"&gt;="&amp;'Amort. Schedule'!$H17,$E$39:$E$158,"&lt;="&amp;'Amort. Schedule'!$I17)),"")</f>
        <v>2210000.0000000005</v>
      </c>
      <c r="D17" s="268">
        <f>IF($B17&lt;=$I$4,(SUMIFS('Amort. Schedule'!$I$39:$I$158,'Amort. Schedule'!$E$39:$E$158,"&gt;="&amp;'Amort. Schedule'!$H17,$E$39:$E$158,"&lt;="&amp;'Amort. Schedule'!$I17)),"")</f>
        <v>0</v>
      </c>
      <c r="E17" s="268">
        <f>IF($B17&lt;=$I$4,(LOOKUP('Amort. Schedule'!I17,$E$39:$E$158,$J$39:$J$158)),"")</f>
        <v>52000000</v>
      </c>
      <c r="F17" s="367">
        <f t="shared" si="0"/>
        <v>2210000.0000000005</v>
      </c>
      <c r="H17" s="269">
        <f t="shared" si="1"/>
        <v>25</v>
      </c>
      <c r="I17" s="270">
        <f t="shared" si="2"/>
        <v>36</v>
      </c>
    </row>
    <row r="18" spans="2:13">
      <c r="B18" s="366">
        <f t="shared" si="3"/>
        <v>4</v>
      </c>
      <c r="C18" s="268">
        <f>IF($B18&lt;=$I$4,(SUMIFS('Amort. Schedule'!$H$39:$H$158,'Amort. Schedule'!$E$39:$E$158,"&gt;="&amp;'Amort. Schedule'!$H18,$E$39:$E$158,"&lt;="&amp;'Amort. Schedule'!$I18)),"")</f>
        <v>2193054.380394774</v>
      </c>
      <c r="D18" s="268">
        <f>IF($B18&lt;=$I$4,(SUMIFS('Amort. Schedule'!$I$39:$I$158,'Amort. Schedule'!$E$39:$E$158,"&gt;="&amp;'Amort. Schedule'!$H18,$E$39:$E$158,"&lt;="&amp;'Amort. Schedule'!$I18)),"")</f>
        <v>876650.53994120413</v>
      </c>
      <c r="E18" s="268">
        <f>IF($B18&lt;=$I$4,(LOOKUP('Amort. Schedule'!I18,$E$39:$E$158,$J$39:$J$158)),"")</f>
        <v>51123349.460058793</v>
      </c>
      <c r="F18" s="367">
        <f t="shared" si="0"/>
        <v>3069704.9203359783</v>
      </c>
      <c r="H18" s="269">
        <f t="shared" si="1"/>
        <v>37</v>
      </c>
      <c r="I18" s="270">
        <f t="shared" si="2"/>
        <v>48</v>
      </c>
    </row>
    <row r="19" spans="2:13">
      <c r="B19" s="366">
        <f t="shared" si="3"/>
        <v>5</v>
      </c>
      <c r="C19" s="268">
        <f>IF($B19&lt;=$I$4,(SUMIFS('Amort. Schedule'!$H$39:$H$158,'Amort. Schedule'!$E$39:$E$158,"&gt;="&amp;'Amort. Schedule'!$H19,$E$39:$E$158,"&lt;="&amp;'Amort. Schedule'!$I19)),"")</f>
        <v>2155062.3479921306</v>
      </c>
      <c r="D19" s="268">
        <f>IF($B19&lt;=$I$4,(SUMIFS('Amort. Schedule'!$I$39:$I$158,'Amort. Schedule'!$E$39:$E$158,"&gt;="&amp;'Amort. Schedule'!$H19,$E$39:$E$158,"&lt;="&amp;'Amort. Schedule'!$I19)),"")</f>
        <v>914642.5723438476</v>
      </c>
      <c r="E19" s="268">
        <f>IF($B19&lt;=$I$4,(LOOKUP('Amort. Schedule'!I19,$E$39:$E$158,$J$39:$J$158)),"")</f>
        <v>50208706.887714937</v>
      </c>
      <c r="F19" s="367">
        <f t="shared" si="0"/>
        <v>3069704.9203359783</v>
      </c>
      <c r="H19" s="269">
        <f t="shared" si="1"/>
        <v>49</v>
      </c>
      <c r="I19" s="270">
        <f t="shared" si="2"/>
        <v>60</v>
      </c>
    </row>
    <row r="20" spans="2:13">
      <c r="B20" s="366">
        <f t="shared" si="3"/>
        <v>6</v>
      </c>
      <c r="C20" s="268">
        <f>IF($B20&lt;=$I$4,(SUMIFS('Amort. Schedule'!$H$39:$H$158,'Amort. Schedule'!$E$39:$E$158,"&gt;="&amp;'Amort. Schedule'!$H20,$E$39:$E$158,"&lt;="&amp;'Amort. Schedule'!$I20)),"")</f>
        <v>2115423.8276671958</v>
      </c>
      <c r="D20" s="268">
        <f>IF($B20&lt;=$I$4,(SUMIFS('Amort. Schedule'!$I$39:$I$158,'Amort. Schedule'!$E$39:$E$158,"&gt;="&amp;'Amort. Schedule'!$H20,$E$39:$E$158,"&lt;="&amp;'Amort. Schedule'!$I20)),"")</f>
        <v>954281.09266878222</v>
      </c>
      <c r="E20" s="268">
        <f>IF($B20&lt;=$I$4,(LOOKUP('Amort. Schedule'!I20,$E$39:$E$158,$J$39:$J$158)),"")</f>
        <v>49254425.795046151</v>
      </c>
      <c r="F20" s="367">
        <f t="shared" si="0"/>
        <v>3069704.9203359783</v>
      </c>
      <c r="H20" s="269">
        <f t="shared" si="1"/>
        <v>61</v>
      </c>
      <c r="I20" s="270">
        <f t="shared" si="2"/>
        <v>72</v>
      </c>
    </row>
    <row r="21" spans="2:13">
      <c r="B21" s="366">
        <f t="shared" si="3"/>
        <v>7</v>
      </c>
      <c r="C21" s="268">
        <f>IF($B21&lt;=$I$4,(SUMIFS('Amort. Schedule'!$H$39:$H$158,'Amort. Schedule'!$E$39:$E$158,"&gt;="&amp;'Amort. Schedule'!$H21,$E$39:$E$158,"&lt;="&amp;'Amort. Schedule'!$I21)),"")</f>
        <v>2074067.4643934858</v>
      </c>
      <c r="D21" s="268">
        <f>IF($B21&lt;=$I$4,(SUMIFS('Amort. Schedule'!$I$39:$I$158,'Amort. Schedule'!$E$39:$E$158,"&gt;="&amp;'Amort. Schedule'!$H21,$E$39:$E$158,"&lt;="&amp;'Amort. Schedule'!$I21)),"")</f>
        <v>995637.45594249212</v>
      </c>
      <c r="E21" s="268">
        <f>IF($B21&lt;=$I$4,(LOOKUP('Amort. Schedule'!I21,$E$39:$E$158,$J$39:$J$158)),"")</f>
        <v>48258788.339103654</v>
      </c>
      <c r="F21" s="367">
        <f t="shared" si="0"/>
        <v>3069704.9203359778</v>
      </c>
      <c r="H21" s="269">
        <f t="shared" si="1"/>
        <v>73</v>
      </c>
      <c r="I21" s="270">
        <f t="shared" si="2"/>
        <v>84</v>
      </c>
    </row>
    <row r="22" spans="2:13">
      <c r="B22" s="366">
        <f t="shared" si="3"/>
        <v>8</v>
      </c>
      <c r="C22" s="268" t="str">
        <f>IF($B22&lt;=$I$4,(SUMIFS('Amort. Schedule'!$H$39:$H$158,'Amort. Schedule'!$E$39:$E$158,"&gt;="&amp;'Amort. Schedule'!$H22,$E$39:$E$158,"&lt;="&amp;'Amort. Schedule'!$I22)),"")</f>
        <v/>
      </c>
      <c r="D22" s="268" t="str">
        <f>IF($B22&lt;=$I$4,(SUMIFS('Amort. Schedule'!$I$39:$I$158,'Amort. Schedule'!$E$39:$E$158,"&gt;="&amp;'Amort. Schedule'!$H22,$E$39:$E$158,"&lt;="&amp;'Amort. Schedule'!$I22)),"")</f>
        <v/>
      </c>
      <c r="E22" s="268" t="str">
        <f>IF($B22&lt;=$I$4,(LOOKUP('Amort. Schedule'!I22,$E$39:$E$158,$J$39:$J$158)),"")</f>
        <v/>
      </c>
      <c r="F22" s="367">
        <f t="shared" si="0"/>
        <v>0</v>
      </c>
      <c r="H22" s="269">
        <f t="shared" si="1"/>
        <v>85</v>
      </c>
      <c r="I22" s="270">
        <f t="shared" si="2"/>
        <v>96</v>
      </c>
    </row>
    <row r="23" spans="2:13">
      <c r="B23" s="366">
        <f t="shared" si="3"/>
        <v>9</v>
      </c>
      <c r="C23" s="268" t="str">
        <f>IF($B23&lt;=$I$4,(SUMIFS('Amort. Schedule'!$H$39:$H$158,'Amort. Schedule'!$E$39:$E$158,"&gt;="&amp;'Amort. Schedule'!$H23,$E$39:$E$158,"&lt;="&amp;'Amort. Schedule'!$I23)),"")</f>
        <v/>
      </c>
      <c r="D23" s="268" t="str">
        <f>IF($B23&lt;=$I$4,(SUMIFS('Amort. Schedule'!$I$39:$I$158,'Amort. Schedule'!$E$39:$E$158,"&gt;="&amp;'Amort. Schedule'!$H23,$E$39:$E$158,"&lt;="&amp;'Amort. Schedule'!$I23)),"")</f>
        <v/>
      </c>
      <c r="E23" s="268" t="str">
        <f>IF($B23&lt;=$I$4,(LOOKUP('Amort. Schedule'!I23,$E$39:$E$158,$J$39:$J$158)),"")</f>
        <v/>
      </c>
      <c r="F23" s="367">
        <f t="shared" si="0"/>
        <v>0</v>
      </c>
      <c r="H23" s="269">
        <f t="shared" si="1"/>
        <v>97</v>
      </c>
      <c r="I23" s="270">
        <f t="shared" si="2"/>
        <v>108</v>
      </c>
    </row>
    <row r="24" spans="2:13">
      <c r="B24" s="366">
        <f t="shared" si="3"/>
        <v>10</v>
      </c>
      <c r="C24" s="268" t="str">
        <f>IF($B24&lt;=$I$4,(SUMIFS('Amort. Schedule'!$H$39:$H$158,'Amort. Schedule'!$E$39:$E$158,"&gt;="&amp;'Amort. Schedule'!$H24,$E$39:$E$158,"&lt;="&amp;'Amort. Schedule'!$I24)),"")</f>
        <v/>
      </c>
      <c r="D24" s="268" t="str">
        <f>IF($B24&lt;=$I$4,(SUMIFS('Amort. Schedule'!$I$39:$I$158,'Amort. Schedule'!$E$39:$E$158,"&gt;="&amp;'Amort. Schedule'!$H24,$E$39:$E$158,"&lt;="&amp;'Amort. Schedule'!$I24)),"")</f>
        <v/>
      </c>
      <c r="E24" s="268" t="str">
        <f>IF($B24&lt;=$I$4,(LOOKUP('Amort. Schedule'!I24,$E$39:$E$158,$J$39:$J$158)),"")</f>
        <v/>
      </c>
      <c r="F24" s="367">
        <f t="shared" si="0"/>
        <v>0</v>
      </c>
      <c r="H24" s="269">
        <f t="shared" si="1"/>
        <v>109</v>
      </c>
      <c r="I24" s="270">
        <f t="shared" si="2"/>
        <v>120</v>
      </c>
    </row>
    <row r="25" spans="2:13">
      <c r="B25" s="368">
        <f t="shared" si="3"/>
        <v>11</v>
      </c>
      <c r="C25" s="369" t="str">
        <f>IF($B25&lt;=$I$4,(SUMIFS('Amort. Schedule'!$H$39:$H$158,'Amort. Schedule'!$E$39:$E$158,"&gt;="&amp;'Amort. Schedule'!$H25,$E$39:$E$158,"&lt;="&amp;'Amort. Schedule'!$I25)),"")</f>
        <v/>
      </c>
      <c r="D25" s="369" t="str">
        <f>IF($B25&lt;=$I$4,(SUMIFS('Amort. Schedule'!$I$39:$I$158,'Amort. Schedule'!$E$39:$E$158,"&gt;="&amp;'Amort. Schedule'!$H25,$E$39:$E$158,"&lt;="&amp;'Amort. Schedule'!$I25)),"")</f>
        <v/>
      </c>
      <c r="E25" s="369" t="str">
        <f>IF($B25&lt;=$I$4,(LOOKUP('Amort. Schedule'!I25,$E$39:$E$158,$J$39:$J$158)),"")</f>
        <v/>
      </c>
      <c r="F25" s="370">
        <f t="shared" ref="F25" si="4">SUM(C25:D25)</f>
        <v>0</v>
      </c>
      <c r="G25" s="233"/>
      <c r="H25" s="271">
        <f t="shared" ref="H25" si="5">I24+1</f>
        <v>121</v>
      </c>
      <c r="I25" s="272">
        <f t="shared" ref="I25" si="6">H25+11</f>
        <v>132</v>
      </c>
    </row>
    <row r="26" spans="2:13">
      <c r="H26" s="254"/>
    </row>
    <row r="27" spans="2:13">
      <c r="H27" s="254"/>
    </row>
    <row r="28" spans="2:13">
      <c r="B28" s="262" t="str">
        <f>B13</f>
        <v>Fixed-Rate 7-Year Loan</v>
      </c>
      <c r="C28" s="262"/>
      <c r="D28" s="262"/>
      <c r="E28" s="262"/>
      <c r="F28" s="262"/>
      <c r="G28" s="262"/>
      <c r="H28" s="262"/>
      <c r="I28" s="262"/>
      <c r="J28" s="262"/>
      <c r="K28" s="262"/>
      <c r="L28" s="262"/>
      <c r="M28" s="262"/>
    </row>
    <row r="29" spans="2:13">
      <c r="B29" s="273"/>
      <c r="C29" s="274">
        <v>1</v>
      </c>
      <c r="D29" s="274">
        <v>2</v>
      </c>
      <c r="E29" s="274">
        <v>3</v>
      </c>
      <c r="F29" s="274">
        <v>4</v>
      </c>
      <c r="G29" s="274">
        <v>5</v>
      </c>
      <c r="H29" s="274">
        <v>6</v>
      </c>
      <c r="I29" s="274">
        <v>7</v>
      </c>
      <c r="J29" s="274">
        <v>8</v>
      </c>
      <c r="K29" s="274">
        <v>9</v>
      </c>
      <c r="L29" s="274">
        <v>10</v>
      </c>
      <c r="M29" s="274">
        <v>11</v>
      </c>
    </row>
    <row r="30" spans="2:13">
      <c r="B30" s="275" t="s">
        <v>150</v>
      </c>
      <c r="C30" s="276">
        <f>VLOOKUP(C29,$B$15:$F$25,3,FALSE)</f>
        <v>0</v>
      </c>
      <c r="D30" s="276">
        <f t="shared" ref="D30:M30" si="7">VLOOKUP(D29,$B$15:$F$25,3,FALSE)</f>
        <v>0</v>
      </c>
      <c r="E30" s="276">
        <f t="shared" si="7"/>
        <v>0</v>
      </c>
      <c r="F30" s="276">
        <f t="shared" si="7"/>
        <v>876650.53994120413</v>
      </c>
      <c r="G30" s="276">
        <f t="shared" si="7"/>
        <v>914642.5723438476</v>
      </c>
      <c r="H30" s="276">
        <f t="shared" si="7"/>
        <v>954281.09266878222</v>
      </c>
      <c r="I30" s="276">
        <f t="shared" si="7"/>
        <v>995637.45594249212</v>
      </c>
      <c r="J30" s="276" t="str">
        <f t="shared" si="7"/>
        <v/>
      </c>
      <c r="K30" s="276" t="str">
        <f t="shared" si="7"/>
        <v/>
      </c>
      <c r="L30" s="276" t="str">
        <f t="shared" si="7"/>
        <v/>
      </c>
      <c r="M30" s="276" t="str">
        <f t="shared" si="7"/>
        <v/>
      </c>
    </row>
    <row r="31" spans="2:13">
      <c r="B31" s="275" t="s">
        <v>149</v>
      </c>
      <c r="C31" s="276">
        <f>VLOOKUP(C29,$B$15:$F$25,2,FALSE)</f>
        <v>2210000.0000000005</v>
      </c>
      <c r="D31" s="276">
        <f t="shared" ref="D31:M31" si="8">VLOOKUP(D29,$B$15:$F$25,2,FALSE)</f>
        <v>2210000.0000000005</v>
      </c>
      <c r="E31" s="276">
        <f t="shared" si="8"/>
        <v>2210000.0000000005</v>
      </c>
      <c r="F31" s="276">
        <f t="shared" si="8"/>
        <v>2193054.380394774</v>
      </c>
      <c r="G31" s="276">
        <f t="shared" si="8"/>
        <v>2155062.3479921306</v>
      </c>
      <c r="H31" s="276">
        <f t="shared" si="8"/>
        <v>2115423.8276671958</v>
      </c>
      <c r="I31" s="276">
        <f t="shared" si="8"/>
        <v>2074067.4643934858</v>
      </c>
      <c r="J31" s="276" t="str">
        <f t="shared" si="8"/>
        <v/>
      </c>
      <c r="K31" s="276" t="str">
        <f t="shared" si="8"/>
        <v/>
      </c>
      <c r="L31" s="276" t="str">
        <f t="shared" si="8"/>
        <v/>
      </c>
      <c r="M31" s="276" t="str">
        <f t="shared" si="8"/>
        <v/>
      </c>
    </row>
    <row r="32" spans="2:13">
      <c r="B32" s="275" t="s">
        <v>7</v>
      </c>
      <c r="C32" s="277">
        <f t="shared" ref="C32:L32" si="9">SUM(C30:C31)</f>
        <v>2210000.0000000005</v>
      </c>
      <c r="D32" s="277">
        <f t="shared" si="9"/>
        <v>2210000.0000000005</v>
      </c>
      <c r="E32" s="277">
        <f t="shared" si="9"/>
        <v>2210000.0000000005</v>
      </c>
      <c r="F32" s="277">
        <f t="shared" si="9"/>
        <v>3069704.9203359783</v>
      </c>
      <c r="G32" s="277">
        <f t="shared" si="9"/>
        <v>3069704.9203359783</v>
      </c>
      <c r="H32" s="277">
        <f t="shared" si="9"/>
        <v>3069704.9203359783</v>
      </c>
      <c r="I32" s="277">
        <f t="shared" si="9"/>
        <v>3069704.9203359778</v>
      </c>
      <c r="J32" s="277">
        <f>SUM(J30:J31)</f>
        <v>0</v>
      </c>
      <c r="K32" s="277">
        <f t="shared" si="9"/>
        <v>0</v>
      </c>
      <c r="L32" s="277">
        <f t="shared" si="9"/>
        <v>0</v>
      </c>
      <c r="M32" s="277">
        <f t="shared" ref="M32" si="10">SUM(M30:M31)</f>
        <v>0</v>
      </c>
    </row>
    <row r="33" spans="2:14">
      <c r="B33" s="275" t="s">
        <v>151</v>
      </c>
      <c r="C33" s="278">
        <f>VLOOKUP(C29,$B$15:$F$25,4,FALSE)</f>
        <v>52000000</v>
      </c>
      <c r="D33" s="278">
        <f t="shared" ref="D33:M33" si="11">VLOOKUP(D29,$B$15:$F$25,4,FALSE)</f>
        <v>52000000</v>
      </c>
      <c r="E33" s="278">
        <f t="shared" si="11"/>
        <v>52000000</v>
      </c>
      <c r="F33" s="278">
        <f t="shared" si="11"/>
        <v>51123349.460058793</v>
      </c>
      <c r="G33" s="278">
        <f t="shared" si="11"/>
        <v>50208706.887714937</v>
      </c>
      <c r="H33" s="278">
        <f t="shared" si="11"/>
        <v>49254425.795046151</v>
      </c>
      <c r="I33" s="278">
        <f t="shared" si="11"/>
        <v>48258788.339103654</v>
      </c>
      <c r="J33" s="278" t="str">
        <f t="shared" si="11"/>
        <v/>
      </c>
      <c r="K33" s="278" t="str">
        <f t="shared" si="11"/>
        <v/>
      </c>
      <c r="L33" s="278" t="str">
        <f t="shared" si="11"/>
        <v/>
      </c>
      <c r="M33" s="278" t="str">
        <f t="shared" si="11"/>
        <v/>
      </c>
    </row>
    <row r="34" spans="2:14">
      <c r="H34" s="254"/>
    </row>
    <row r="35" spans="2:14">
      <c r="H35" s="254"/>
    </row>
    <row r="36" spans="2:14" ht="18.75">
      <c r="B36" s="279" t="s">
        <v>175</v>
      </c>
      <c r="C36" s="280"/>
      <c r="D36" s="280"/>
      <c r="E36" s="281"/>
      <c r="H36" s="254"/>
      <c r="I36" s="254"/>
      <c r="L36" s="282"/>
      <c r="M36" s="283"/>
    </row>
    <row r="37" spans="2:14">
      <c r="B37" s="284"/>
      <c r="C37" s="284"/>
      <c r="D37" s="284"/>
      <c r="E37" s="284"/>
      <c r="F37" s="284"/>
      <c r="G37" s="284"/>
      <c r="H37" s="284"/>
      <c r="I37" s="284"/>
      <c r="J37" s="285" t="s">
        <v>154</v>
      </c>
      <c r="K37" s="286" t="s">
        <v>7</v>
      </c>
      <c r="L37" s="286" t="s">
        <v>7</v>
      </c>
      <c r="M37" s="287" t="s">
        <v>7</v>
      </c>
    </row>
    <row r="38" spans="2:14">
      <c r="B38" s="288" t="s">
        <v>155</v>
      </c>
      <c r="C38" s="284"/>
      <c r="D38" s="284"/>
      <c r="E38" s="289"/>
      <c r="F38" s="284" t="s">
        <v>150</v>
      </c>
      <c r="G38" s="290" t="s">
        <v>156</v>
      </c>
      <c r="H38" s="290" t="s">
        <v>149</v>
      </c>
      <c r="I38" s="290" t="s">
        <v>150</v>
      </c>
      <c r="J38" s="285" t="s">
        <v>151</v>
      </c>
      <c r="K38" s="286" t="s">
        <v>157</v>
      </c>
      <c r="L38" s="286" t="s">
        <v>150</v>
      </c>
      <c r="M38" s="287" t="s">
        <v>158</v>
      </c>
    </row>
    <row r="39" spans="2:14" s="291" customFormat="1" ht="12">
      <c r="B39" s="292">
        <v>1</v>
      </c>
      <c r="C39" s="292">
        <f>YEAR(I5)</f>
        <v>2017</v>
      </c>
      <c r="D39" s="293">
        <f>EOMONTH(I5,0)</f>
        <v>42825</v>
      </c>
      <c r="E39" s="291">
        <v>1</v>
      </c>
      <c r="F39" s="294">
        <f>C4</f>
        <v>52000000</v>
      </c>
      <c r="G39" s="294">
        <f>H39+I39</f>
        <v>184166.66666666669</v>
      </c>
      <c r="H39" s="294">
        <f>$C$6*F39</f>
        <v>184166.66666666669</v>
      </c>
      <c r="I39" s="294">
        <f t="shared" ref="I39:I102" si="12">IF(E39&lt;=$I$9,0,$C$9-H39)</f>
        <v>0</v>
      </c>
      <c r="J39" s="295">
        <f t="shared" ref="J39:J102" si="13">F39-I39</f>
        <v>52000000</v>
      </c>
      <c r="K39" s="296"/>
      <c r="L39" s="296"/>
      <c r="M39" s="297"/>
      <c r="N39" s="298"/>
    </row>
    <row r="40" spans="2:14" s="291" customFormat="1" ht="12">
      <c r="B40" s="292"/>
      <c r="C40" s="292"/>
      <c r="D40" s="293">
        <f>DATE(YEAR(D39),MONTH(D39)+1,1)</f>
        <v>42826</v>
      </c>
      <c r="E40" s="291">
        <v>2</v>
      </c>
      <c r="F40" s="294">
        <f>J39</f>
        <v>52000000</v>
      </c>
      <c r="G40" s="294">
        <f t="shared" ref="G40:G103" si="14">H40+I40</f>
        <v>184166.66666666669</v>
      </c>
      <c r="H40" s="294">
        <f>$C$6*F40</f>
        <v>184166.66666666669</v>
      </c>
      <c r="I40" s="294">
        <f t="shared" si="12"/>
        <v>0</v>
      </c>
      <c r="J40" s="295">
        <f t="shared" si="13"/>
        <v>52000000</v>
      </c>
      <c r="K40" s="296"/>
      <c r="L40" s="296"/>
      <c r="M40" s="297"/>
      <c r="N40" s="298"/>
    </row>
    <row r="41" spans="2:14" s="291" customFormat="1" ht="12">
      <c r="B41" s="292"/>
      <c r="C41" s="292"/>
      <c r="D41" s="293">
        <f t="shared" ref="D41:D104" si="15">DATE(YEAR(D40),MONTH(D40)+1,1)</f>
        <v>42856</v>
      </c>
      <c r="E41" s="291">
        <v>3</v>
      </c>
      <c r="F41" s="294">
        <f t="shared" ref="F41:F104" si="16">J40</f>
        <v>52000000</v>
      </c>
      <c r="G41" s="294">
        <f t="shared" si="14"/>
        <v>184166.66666666669</v>
      </c>
      <c r="H41" s="294">
        <f t="shared" ref="H41:H104" si="17">$C$6*F41</f>
        <v>184166.66666666669</v>
      </c>
      <c r="I41" s="294">
        <f t="shared" si="12"/>
        <v>0</v>
      </c>
      <c r="J41" s="295">
        <f t="shared" si="13"/>
        <v>52000000</v>
      </c>
      <c r="K41" s="296"/>
      <c r="L41" s="296"/>
      <c r="M41" s="297"/>
      <c r="N41" s="298"/>
    </row>
    <row r="42" spans="2:14" s="291" customFormat="1" ht="12">
      <c r="B42" s="292"/>
      <c r="C42" s="292"/>
      <c r="D42" s="293">
        <f t="shared" si="15"/>
        <v>42887</v>
      </c>
      <c r="E42" s="291">
        <v>4</v>
      </c>
      <c r="F42" s="294">
        <f t="shared" si="16"/>
        <v>52000000</v>
      </c>
      <c r="G42" s="294">
        <f t="shared" si="14"/>
        <v>184166.66666666669</v>
      </c>
      <c r="H42" s="294">
        <f t="shared" si="17"/>
        <v>184166.66666666669</v>
      </c>
      <c r="I42" s="294">
        <f t="shared" si="12"/>
        <v>0</v>
      </c>
      <c r="J42" s="295">
        <f t="shared" si="13"/>
        <v>52000000</v>
      </c>
      <c r="K42" s="299"/>
      <c r="L42" s="299"/>
      <c r="M42" s="300"/>
      <c r="N42" s="298"/>
    </row>
    <row r="43" spans="2:14" s="291" customFormat="1" ht="12">
      <c r="B43" s="292"/>
      <c r="C43" s="292"/>
      <c r="D43" s="293">
        <f t="shared" si="15"/>
        <v>42917</v>
      </c>
      <c r="E43" s="291">
        <v>5</v>
      </c>
      <c r="F43" s="294">
        <f t="shared" si="16"/>
        <v>52000000</v>
      </c>
      <c r="G43" s="294">
        <f t="shared" si="14"/>
        <v>184166.66666666669</v>
      </c>
      <c r="H43" s="294">
        <f t="shared" si="17"/>
        <v>184166.66666666669</v>
      </c>
      <c r="I43" s="294">
        <f t="shared" si="12"/>
        <v>0</v>
      </c>
      <c r="J43" s="295">
        <f t="shared" si="13"/>
        <v>52000000</v>
      </c>
      <c r="K43" s="299"/>
      <c r="L43" s="299"/>
      <c r="M43" s="300"/>
      <c r="N43" s="298"/>
    </row>
    <row r="44" spans="2:14" s="291" customFormat="1" ht="12">
      <c r="B44" s="292"/>
      <c r="C44" s="292"/>
      <c r="D44" s="293">
        <f t="shared" si="15"/>
        <v>42948</v>
      </c>
      <c r="E44" s="291">
        <v>6</v>
      </c>
      <c r="F44" s="294">
        <f t="shared" si="16"/>
        <v>52000000</v>
      </c>
      <c r="G44" s="294">
        <f t="shared" si="14"/>
        <v>184166.66666666669</v>
      </c>
      <c r="H44" s="294">
        <f t="shared" si="17"/>
        <v>184166.66666666669</v>
      </c>
      <c r="I44" s="294">
        <f t="shared" si="12"/>
        <v>0</v>
      </c>
      <c r="J44" s="295">
        <f t="shared" si="13"/>
        <v>52000000</v>
      </c>
      <c r="K44" s="299"/>
      <c r="L44" s="299"/>
      <c r="M44" s="300"/>
      <c r="N44" s="298"/>
    </row>
    <row r="45" spans="2:14" s="291" customFormat="1" ht="12">
      <c r="B45" s="292"/>
      <c r="C45" s="292"/>
      <c r="D45" s="293">
        <f t="shared" si="15"/>
        <v>42979</v>
      </c>
      <c r="E45" s="291">
        <v>7</v>
      </c>
      <c r="F45" s="294">
        <f t="shared" si="16"/>
        <v>52000000</v>
      </c>
      <c r="G45" s="294">
        <f t="shared" si="14"/>
        <v>184166.66666666669</v>
      </c>
      <c r="H45" s="294">
        <f t="shared" si="17"/>
        <v>184166.66666666669</v>
      </c>
      <c r="I45" s="294">
        <f t="shared" si="12"/>
        <v>0</v>
      </c>
      <c r="J45" s="295">
        <f t="shared" si="13"/>
        <v>52000000</v>
      </c>
      <c r="K45" s="299"/>
      <c r="L45" s="299"/>
      <c r="M45" s="300"/>
      <c r="N45" s="298"/>
    </row>
    <row r="46" spans="2:14" s="291" customFormat="1" ht="12">
      <c r="B46" s="292"/>
      <c r="C46" s="292"/>
      <c r="D46" s="293">
        <f t="shared" si="15"/>
        <v>43009</v>
      </c>
      <c r="E46" s="291">
        <v>8</v>
      </c>
      <c r="F46" s="294">
        <f t="shared" si="16"/>
        <v>52000000</v>
      </c>
      <c r="G46" s="294">
        <f t="shared" si="14"/>
        <v>184166.66666666669</v>
      </c>
      <c r="H46" s="294">
        <f t="shared" si="17"/>
        <v>184166.66666666669</v>
      </c>
      <c r="I46" s="294">
        <f t="shared" si="12"/>
        <v>0</v>
      </c>
      <c r="J46" s="295">
        <f t="shared" si="13"/>
        <v>52000000</v>
      </c>
      <c r="K46" s="296"/>
      <c r="L46" s="296"/>
      <c r="M46" s="297"/>
      <c r="N46" s="298"/>
    </row>
    <row r="47" spans="2:14" s="291" customFormat="1" ht="12">
      <c r="B47" s="292"/>
      <c r="C47" s="292"/>
      <c r="D47" s="293">
        <f t="shared" si="15"/>
        <v>43040</v>
      </c>
      <c r="E47" s="291">
        <v>9</v>
      </c>
      <c r="F47" s="294">
        <f t="shared" si="16"/>
        <v>52000000</v>
      </c>
      <c r="G47" s="294">
        <f t="shared" si="14"/>
        <v>184166.66666666669</v>
      </c>
      <c r="H47" s="294">
        <f t="shared" si="17"/>
        <v>184166.66666666669</v>
      </c>
      <c r="I47" s="294">
        <f t="shared" si="12"/>
        <v>0</v>
      </c>
      <c r="J47" s="295">
        <f t="shared" si="13"/>
        <v>52000000</v>
      </c>
      <c r="K47" s="299"/>
      <c r="L47" s="299"/>
      <c r="M47" s="300"/>
      <c r="N47" s="298"/>
    </row>
    <row r="48" spans="2:14" s="291" customFormat="1" ht="12">
      <c r="B48" s="292"/>
      <c r="C48" s="292"/>
      <c r="D48" s="293">
        <f t="shared" si="15"/>
        <v>43070</v>
      </c>
      <c r="E48" s="291">
        <v>10</v>
      </c>
      <c r="F48" s="294">
        <f t="shared" si="16"/>
        <v>52000000</v>
      </c>
      <c r="G48" s="294">
        <f t="shared" si="14"/>
        <v>184166.66666666669</v>
      </c>
      <c r="H48" s="294">
        <f t="shared" si="17"/>
        <v>184166.66666666669</v>
      </c>
      <c r="I48" s="294">
        <f t="shared" si="12"/>
        <v>0</v>
      </c>
      <c r="J48" s="295">
        <f t="shared" si="13"/>
        <v>52000000</v>
      </c>
      <c r="K48" s="299"/>
      <c r="L48" s="299"/>
      <c r="M48" s="300"/>
      <c r="N48" s="298"/>
    </row>
    <row r="49" spans="1:14" s="291" customFormat="1" ht="12">
      <c r="B49" s="292"/>
      <c r="C49" s="292"/>
      <c r="D49" s="293">
        <f t="shared" si="15"/>
        <v>43101</v>
      </c>
      <c r="E49" s="291">
        <v>11</v>
      </c>
      <c r="F49" s="294">
        <f t="shared" si="16"/>
        <v>52000000</v>
      </c>
      <c r="G49" s="294">
        <f t="shared" si="14"/>
        <v>184166.66666666669</v>
      </c>
      <c r="H49" s="294">
        <f t="shared" si="17"/>
        <v>184166.66666666669</v>
      </c>
      <c r="I49" s="294">
        <f t="shared" si="12"/>
        <v>0</v>
      </c>
      <c r="J49" s="295">
        <f t="shared" si="13"/>
        <v>52000000</v>
      </c>
      <c r="K49" s="296"/>
      <c r="L49" s="296"/>
      <c r="M49" s="297"/>
      <c r="N49" s="298"/>
    </row>
    <row r="50" spans="1:14" s="291" customFormat="1" ht="12">
      <c r="B50" s="292"/>
      <c r="C50" s="292"/>
      <c r="D50" s="293">
        <f t="shared" si="15"/>
        <v>43132</v>
      </c>
      <c r="E50" s="291">
        <v>12</v>
      </c>
      <c r="F50" s="294">
        <f t="shared" si="16"/>
        <v>52000000</v>
      </c>
      <c r="G50" s="294">
        <f t="shared" si="14"/>
        <v>184166.66666666669</v>
      </c>
      <c r="H50" s="294">
        <f t="shared" si="17"/>
        <v>184166.66666666669</v>
      </c>
      <c r="I50" s="294">
        <f t="shared" si="12"/>
        <v>0</v>
      </c>
      <c r="J50" s="301">
        <f t="shared" si="13"/>
        <v>52000000</v>
      </c>
      <c r="K50" s="302">
        <f>SUM(H39:H50)</f>
        <v>2210000.0000000005</v>
      </c>
      <c r="L50" s="302">
        <f>SUM(I39:I50)</f>
        <v>0</v>
      </c>
      <c r="M50" s="302">
        <f>SUM(K50:L50)</f>
        <v>2210000.0000000005</v>
      </c>
      <c r="N50" s="298"/>
    </row>
    <row r="51" spans="1:14" s="291" customFormat="1" ht="12">
      <c r="B51" s="303">
        <v>2</v>
      </c>
      <c r="C51" s="303">
        <f>C39+1</f>
        <v>2018</v>
      </c>
      <c r="D51" s="293">
        <f t="shared" si="15"/>
        <v>43160</v>
      </c>
      <c r="E51" s="304">
        <v>13</v>
      </c>
      <c r="F51" s="305">
        <f t="shared" si="16"/>
        <v>52000000</v>
      </c>
      <c r="G51" s="305">
        <f t="shared" si="14"/>
        <v>184166.66666666669</v>
      </c>
      <c r="H51" s="305">
        <f t="shared" si="17"/>
        <v>184166.66666666669</v>
      </c>
      <c r="I51" s="305">
        <f t="shared" si="12"/>
        <v>0</v>
      </c>
      <c r="J51" s="306">
        <f t="shared" si="13"/>
        <v>52000000</v>
      </c>
      <c r="K51" s="307"/>
      <c r="L51" s="307"/>
      <c r="M51" s="307"/>
      <c r="N51" s="298"/>
    </row>
    <row r="52" spans="1:14" s="291" customFormat="1" ht="12">
      <c r="B52" s="292"/>
      <c r="C52" s="292"/>
      <c r="D52" s="293">
        <f t="shared" si="15"/>
        <v>43191</v>
      </c>
      <c r="E52" s="308">
        <v>14</v>
      </c>
      <c r="F52" s="309">
        <f t="shared" si="16"/>
        <v>52000000</v>
      </c>
      <c r="G52" s="309">
        <f t="shared" si="14"/>
        <v>184166.66666666669</v>
      </c>
      <c r="H52" s="309">
        <f t="shared" si="17"/>
        <v>184166.66666666669</v>
      </c>
      <c r="I52" s="309">
        <f t="shared" si="12"/>
        <v>0</v>
      </c>
      <c r="J52" s="310">
        <f t="shared" si="13"/>
        <v>52000000</v>
      </c>
      <c r="K52" s="311"/>
      <c r="L52" s="311"/>
      <c r="M52" s="311"/>
      <c r="N52" s="298"/>
    </row>
    <row r="53" spans="1:14" s="291" customFormat="1" ht="12">
      <c r="B53" s="292"/>
      <c r="C53" s="292"/>
      <c r="D53" s="293">
        <f t="shared" si="15"/>
        <v>43221</v>
      </c>
      <c r="E53" s="308">
        <v>15</v>
      </c>
      <c r="F53" s="309">
        <f t="shared" si="16"/>
        <v>52000000</v>
      </c>
      <c r="G53" s="309">
        <f t="shared" si="14"/>
        <v>184166.66666666669</v>
      </c>
      <c r="H53" s="309">
        <f t="shared" si="17"/>
        <v>184166.66666666669</v>
      </c>
      <c r="I53" s="309">
        <f t="shared" si="12"/>
        <v>0</v>
      </c>
      <c r="J53" s="310">
        <f>F53-I53</f>
        <v>52000000</v>
      </c>
      <c r="K53" s="312"/>
      <c r="L53" s="312"/>
      <c r="M53" s="312"/>
      <c r="N53" s="298"/>
    </row>
    <row r="54" spans="1:14" s="291" customFormat="1" ht="12">
      <c r="B54" s="292"/>
      <c r="C54" s="292"/>
      <c r="D54" s="293">
        <f t="shared" si="15"/>
        <v>43252</v>
      </c>
      <c r="E54" s="308">
        <v>16</v>
      </c>
      <c r="F54" s="309">
        <f t="shared" si="16"/>
        <v>52000000</v>
      </c>
      <c r="G54" s="309">
        <f t="shared" si="14"/>
        <v>184166.66666666669</v>
      </c>
      <c r="H54" s="309">
        <f t="shared" si="17"/>
        <v>184166.66666666669</v>
      </c>
      <c r="I54" s="309">
        <f t="shared" si="12"/>
        <v>0</v>
      </c>
      <c r="J54" s="310">
        <f t="shared" si="13"/>
        <v>52000000</v>
      </c>
      <c r="K54" s="312"/>
      <c r="L54" s="312"/>
      <c r="M54" s="312"/>
      <c r="N54" s="298"/>
    </row>
    <row r="55" spans="1:14" s="291" customFormat="1" ht="12">
      <c r="B55" s="292"/>
      <c r="C55" s="292"/>
      <c r="D55" s="293">
        <f t="shared" si="15"/>
        <v>43282</v>
      </c>
      <c r="E55" s="308">
        <v>17</v>
      </c>
      <c r="F55" s="309">
        <f t="shared" si="16"/>
        <v>52000000</v>
      </c>
      <c r="G55" s="309">
        <f t="shared" si="14"/>
        <v>184166.66666666669</v>
      </c>
      <c r="H55" s="309">
        <f t="shared" si="17"/>
        <v>184166.66666666669</v>
      </c>
      <c r="I55" s="309">
        <f t="shared" si="12"/>
        <v>0</v>
      </c>
      <c r="J55" s="310">
        <f t="shared" si="13"/>
        <v>52000000</v>
      </c>
      <c r="K55" s="312"/>
      <c r="L55" s="312"/>
      <c r="M55" s="312"/>
      <c r="N55" s="298"/>
    </row>
    <row r="56" spans="1:14" s="291" customFormat="1" ht="12">
      <c r="B56" s="292"/>
      <c r="C56" s="292"/>
      <c r="D56" s="293">
        <f t="shared" si="15"/>
        <v>43313</v>
      </c>
      <c r="E56" s="308">
        <v>18</v>
      </c>
      <c r="F56" s="309">
        <f t="shared" si="16"/>
        <v>52000000</v>
      </c>
      <c r="G56" s="309">
        <f t="shared" si="14"/>
        <v>184166.66666666669</v>
      </c>
      <c r="H56" s="309">
        <f t="shared" si="17"/>
        <v>184166.66666666669</v>
      </c>
      <c r="I56" s="309">
        <f t="shared" si="12"/>
        <v>0</v>
      </c>
      <c r="J56" s="310">
        <f t="shared" si="13"/>
        <v>52000000</v>
      </c>
      <c r="K56" s="312"/>
      <c r="L56" s="312"/>
      <c r="M56" s="312"/>
      <c r="N56" s="298"/>
    </row>
    <row r="57" spans="1:14" s="291" customFormat="1" ht="12">
      <c r="B57" s="292"/>
      <c r="C57" s="313"/>
      <c r="D57" s="293">
        <f t="shared" si="15"/>
        <v>43344</v>
      </c>
      <c r="E57" s="308">
        <v>19</v>
      </c>
      <c r="F57" s="309">
        <f t="shared" si="16"/>
        <v>52000000</v>
      </c>
      <c r="G57" s="309">
        <f t="shared" si="14"/>
        <v>184166.66666666669</v>
      </c>
      <c r="H57" s="309">
        <f t="shared" si="17"/>
        <v>184166.66666666669</v>
      </c>
      <c r="I57" s="309">
        <f t="shared" si="12"/>
        <v>0</v>
      </c>
      <c r="J57" s="310">
        <f t="shared" si="13"/>
        <v>52000000</v>
      </c>
      <c r="K57" s="312"/>
      <c r="L57" s="312"/>
      <c r="M57" s="312"/>
      <c r="N57" s="298"/>
    </row>
    <row r="58" spans="1:14" s="291" customFormat="1" ht="12">
      <c r="B58" s="292"/>
      <c r="C58" s="292"/>
      <c r="D58" s="293">
        <f t="shared" si="15"/>
        <v>43374</v>
      </c>
      <c r="E58" s="308">
        <v>20</v>
      </c>
      <c r="F58" s="309">
        <f t="shared" si="16"/>
        <v>52000000</v>
      </c>
      <c r="G58" s="309">
        <f t="shared" si="14"/>
        <v>184166.66666666669</v>
      </c>
      <c r="H58" s="309">
        <f t="shared" si="17"/>
        <v>184166.66666666669</v>
      </c>
      <c r="I58" s="309">
        <f t="shared" si="12"/>
        <v>0</v>
      </c>
      <c r="J58" s="310">
        <f t="shared" si="13"/>
        <v>52000000</v>
      </c>
      <c r="K58" s="312"/>
      <c r="L58" s="312"/>
      <c r="M58" s="312"/>
      <c r="N58" s="298"/>
    </row>
    <row r="59" spans="1:14" s="291" customFormat="1" ht="12">
      <c r="B59" s="292"/>
      <c r="C59" s="292"/>
      <c r="D59" s="293">
        <f t="shared" si="15"/>
        <v>43405</v>
      </c>
      <c r="E59" s="308">
        <v>21</v>
      </c>
      <c r="F59" s="309">
        <f t="shared" si="16"/>
        <v>52000000</v>
      </c>
      <c r="G59" s="309">
        <f t="shared" si="14"/>
        <v>184166.66666666669</v>
      </c>
      <c r="H59" s="309">
        <f t="shared" si="17"/>
        <v>184166.66666666669</v>
      </c>
      <c r="I59" s="309">
        <f t="shared" si="12"/>
        <v>0</v>
      </c>
      <c r="J59" s="310">
        <f t="shared" si="13"/>
        <v>52000000</v>
      </c>
      <c r="K59" s="312"/>
      <c r="L59" s="312"/>
      <c r="M59" s="312"/>
      <c r="N59" s="298"/>
    </row>
    <row r="60" spans="1:14" s="291" customFormat="1" ht="12">
      <c r="B60" s="292"/>
      <c r="C60" s="292"/>
      <c r="D60" s="293">
        <f t="shared" si="15"/>
        <v>43435</v>
      </c>
      <c r="E60" s="308">
        <v>22</v>
      </c>
      <c r="F60" s="309">
        <f t="shared" si="16"/>
        <v>52000000</v>
      </c>
      <c r="G60" s="309">
        <f t="shared" si="14"/>
        <v>184166.66666666669</v>
      </c>
      <c r="H60" s="309">
        <f t="shared" si="17"/>
        <v>184166.66666666669</v>
      </c>
      <c r="I60" s="309">
        <f t="shared" si="12"/>
        <v>0</v>
      </c>
      <c r="J60" s="310">
        <f t="shared" si="13"/>
        <v>52000000</v>
      </c>
      <c r="K60" s="312"/>
      <c r="L60" s="312"/>
      <c r="M60" s="312"/>
      <c r="N60" s="298"/>
    </row>
    <row r="61" spans="1:14" s="291" customFormat="1" ht="12">
      <c r="B61" s="292"/>
      <c r="C61" s="292"/>
      <c r="D61" s="293">
        <f t="shared" si="15"/>
        <v>43466</v>
      </c>
      <c r="E61" s="308">
        <v>23</v>
      </c>
      <c r="F61" s="309">
        <f t="shared" si="16"/>
        <v>52000000</v>
      </c>
      <c r="G61" s="309">
        <f t="shared" si="14"/>
        <v>184166.66666666669</v>
      </c>
      <c r="H61" s="309">
        <f t="shared" si="17"/>
        <v>184166.66666666669</v>
      </c>
      <c r="I61" s="309">
        <f t="shared" si="12"/>
        <v>0</v>
      </c>
      <c r="J61" s="310">
        <f t="shared" si="13"/>
        <v>52000000</v>
      </c>
      <c r="K61" s="312"/>
      <c r="L61" s="312"/>
      <c r="M61" s="312"/>
      <c r="N61" s="298"/>
    </row>
    <row r="62" spans="1:14" s="291" customFormat="1" ht="12">
      <c r="A62" s="292"/>
      <c r="B62" s="292"/>
      <c r="C62" s="292"/>
      <c r="D62" s="293">
        <f t="shared" si="15"/>
        <v>43497</v>
      </c>
      <c r="E62" s="314">
        <v>24</v>
      </c>
      <c r="F62" s="315">
        <f t="shared" si="16"/>
        <v>52000000</v>
      </c>
      <c r="G62" s="315">
        <f t="shared" si="14"/>
        <v>184166.66666666669</v>
      </c>
      <c r="H62" s="315">
        <f t="shared" si="17"/>
        <v>184166.66666666669</v>
      </c>
      <c r="I62" s="315">
        <f t="shared" si="12"/>
        <v>0</v>
      </c>
      <c r="J62" s="316">
        <f t="shared" si="13"/>
        <v>52000000</v>
      </c>
      <c r="K62" s="317">
        <f>SUM(H51:H62)</f>
        <v>2210000.0000000005</v>
      </c>
      <c r="L62" s="317">
        <f>SUM(I51:I62)</f>
        <v>0</v>
      </c>
      <c r="M62" s="317">
        <f>SUM(K62:L62)</f>
        <v>2210000.0000000005</v>
      </c>
      <c r="N62" s="298"/>
    </row>
    <row r="63" spans="1:14" s="291" customFormat="1" ht="12">
      <c r="B63" s="303">
        <v>3</v>
      </c>
      <c r="C63" s="303">
        <f>C51+1</f>
        <v>2019</v>
      </c>
      <c r="D63" s="293">
        <f t="shared" si="15"/>
        <v>43525</v>
      </c>
      <c r="E63" s="298">
        <v>25</v>
      </c>
      <c r="F63" s="318">
        <f t="shared" si="16"/>
        <v>52000000</v>
      </c>
      <c r="G63" s="318">
        <f t="shared" si="14"/>
        <v>184166.66666666669</v>
      </c>
      <c r="H63" s="318">
        <f t="shared" si="17"/>
        <v>184166.66666666669</v>
      </c>
      <c r="I63" s="318">
        <f t="shared" si="12"/>
        <v>0</v>
      </c>
      <c r="J63" s="319">
        <f t="shared" si="13"/>
        <v>52000000</v>
      </c>
      <c r="K63" s="320"/>
      <c r="L63" s="320"/>
      <c r="M63" s="320"/>
      <c r="N63" s="298"/>
    </row>
    <row r="64" spans="1:14" s="291" customFormat="1" ht="12">
      <c r="B64" s="292"/>
      <c r="C64" s="292"/>
      <c r="D64" s="293">
        <f t="shared" si="15"/>
        <v>43556</v>
      </c>
      <c r="E64" s="291">
        <v>26</v>
      </c>
      <c r="F64" s="294">
        <f t="shared" si="16"/>
        <v>52000000</v>
      </c>
      <c r="G64" s="294">
        <f t="shared" si="14"/>
        <v>184166.66666666669</v>
      </c>
      <c r="H64" s="294">
        <f t="shared" si="17"/>
        <v>184166.66666666669</v>
      </c>
      <c r="I64" s="294">
        <f t="shared" si="12"/>
        <v>0</v>
      </c>
      <c r="J64" s="319">
        <f t="shared" si="13"/>
        <v>52000000</v>
      </c>
      <c r="K64" s="302"/>
      <c r="L64" s="302"/>
      <c r="M64" s="302"/>
      <c r="N64" s="298"/>
    </row>
    <row r="65" spans="2:14" s="291" customFormat="1" ht="12">
      <c r="B65" s="292"/>
      <c r="C65" s="292"/>
      <c r="D65" s="293">
        <f t="shared" si="15"/>
        <v>43586</v>
      </c>
      <c r="E65" s="291">
        <v>27</v>
      </c>
      <c r="F65" s="294">
        <f t="shared" si="16"/>
        <v>52000000</v>
      </c>
      <c r="G65" s="294">
        <f t="shared" si="14"/>
        <v>184166.66666666669</v>
      </c>
      <c r="H65" s="294">
        <f t="shared" si="17"/>
        <v>184166.66666666669</v>
      </c>
      <c r="I65" s="294">
        <f t="shared" si="12"/>
        <v>0</v>
      </c>
      <c r="J65" s="295">
        <f t="shared" si="13"/>
        <v>52000000</v>
      </c>
      <c r="K65" s="302"/>
      <c r="L65" s="302"/>
      <c r="M65" s="302"/>
      <c r="N65" s="298"/>
    </row>
    <row r="66" spans="2:14" s="291" customFormat="1" ht="12">
      <c r="B66" s="292"/>
      <c r="C66" s="292"/>
      <c r="D66" s="293">
        <f t="shared" si="15"/>
        <v>43617</v>
      </c>
      <c r="E66" s="291">
        <v>28</v>
      </c>
      <c r="F66" s="294">
        <f t="shared" si="16"/>
        <v>52000000</v>
      </c>
      <c r="G66" s="294">
        <f t="shared" si="14"/>
        <v>184166.66666666669</v>
      </c>
      <c r="H66" s="294">
        <f t="shared" si="17"/>
        <v>184166.66666666669</v>
      </c>
      <c r="I66" s="294">
        <f t="shared" si="12"/>
        <v>0</v>
      </c>
      <c r="J66" s="295">
        <f t="shared" si="13"/>
        <v>52000000</v>
      </c>
      <c r="K66" s="302"/>
      <c r="L66" s="302"/>
      <c r="M66" s="302"/>
      <c r="N66" s="298"/>
    </row>
    <row r="67" spans="2:14" s="291" customFormat="1" ht="12">
      <c r="B67" s="292"/>
      <c r="C67" s="292"/>
      <c r="D67" s="293">
        <f t="shared" si="15"/>
        <v>43647</v>
      </c>
      <c r="E67" s="291">
        <v>29</v>
      </c>
      <c r="F67" s="294">
        <f t="shared" si="16"/>
        <v>52000000</v>
      </c>
      <c r="G67" s="294">
        <f t="shared" si="14"/>
        <v>184166.66666666669</v>
      </c>
      <c r="H67" s="294">
        <f t="shared" si="17"/>
        <v>184166.66666666669</v>
      </c>
      <c r="I67" s="294">
        <f t="shared" si="12"/>
        <v>0</v>
      </c>
      <c r="J67" s="295">
        <f t="shared" si="13"/>
        <v>52000000</v>
      </c>
      <c r="K67" s="302"/>
      <c r="L67" s="302"/>
      <c r="M67" s="302"/>
      <c r="N67" s="298"/>
    </row>
    <row r="68" spans="2:14" s="291" customFormat="1" ht="12">
      <c r="B68" s="292"/>
      <c r="C68" s="292"/>
      <c r="D68" s="293">
        <f t="shared" si="15"/>
        <v>43678</v>
      </c>
      <c r="E68" s="291">
        <v>30</v>
      </c>
      <c r="F68" s="294">
        <f t="shared" si="16"/>
        <v>52000000</v>
      </c>
      <c r="G68" s="294">
        <f t="shared" si="14"/>
        <v>184166.66666666669</v>
      </c>
      <c r="H68" s="294">
        <f t="shared" si="17"/>
        <v>184166.66666666669</v>
      </c>
      <c r="I68" s="294">
        <f t="shared" si="12"/>
        <v>0</v>
      </c>
      <c r="J68" s="295">
        <f t="shared" si="13"/>
        <v>52000000</v>
      </c>
      <c r="K68" s="302"/>
      <c r="L68" s="302"/>
      <c r="M68" s="302"/>
      <c r="N68" s="298"/>
    </row>
    <row r="69" spans="2:14" s="291" customFormat="1" ht="12">
      <c r="B69" s="292"/>
      <c r="C69" s="292"/>
      <c r="D69" s="293">
        <f t="shared" si="15"/>
        <v>43709</v>
      </c>
      <c r="E69" s="291">
        <v>31</v>
      </c>
      <c r="F69" s="294">
        <f t="shared" si="16"/>
        <v>52000000</v>
      </c>
      <c r="G69" s="294">
        <f t="shared" si="14"/>
        <v>184166.66666666669</v>
      </c>
      <c r="H69" s="294">
        <f t="shared" si="17"/>
        <v>184166.66666666669</v>
      </c>
      <c r="I69" s="294">
        <f t="shared" si="12"/>
        <v>0</v>
      </c>
      <c r="J69" s="295">
        <f t="shared" si="13"/>
        <v>52000000</v>
      </c>
      <c r="K69" s="302"/>
      <c r="L69" s="302"/>
      <c r="M69" s="302"/>
      <c r="N69" s="298"/>
    </row>
    <row r="70" spans="2:14" s="291" customFormat="1" ht="12">
      <c r="B70" s="292"/>
      <c r="C70" s="292"/>
      <c r="D70" s="293">
        <f t="shared" si="15"/>
        <v>43739</v>
      </c>
      <c r="E70" s="291">
        <v>32</v>
      </c>
      <c r="F70" s="294">
        <f t="shared" si="16"/>
        <v>52000000</v>
      </c>
      <c r="G70" s="294">
        <f t="shared" si="14"/>
        <v>184166.66666666669</v>
      </c>
      <c r="H70" s="294">
        <f t="shared" si="17"/>
        <v>184166.66666666669</v>
      </c>
      <c r="I70" s="294">
        <f t="shared" si="12"/>
        <v>0</v>
      </c>
      <c r="J70" s="295">
        <f t="shared" si="13"/>
        <v>52000000</v>
      </c>
      <c r="K70" s="302"/>
      <c r="L70" s="302"/>
      <c r="M70" s="302"/>
      <c r="N70" s="298"/>
    </row>
    <row r="71" spans="2:14" s="291" customFormat="1" ht="12">
      <c r="B71" s="292"/>
      <c r="C71" s="292"/>
      <c r="D71" s="293">
        <f t="shared" si="15"/>
        <v>43770</v>
      </c>
      <c r="E71" s="291">
        <v>33</v>
      </c>
      <c r="F71" s="294">
        <f t="shared" si="16"/>
        <v>52000000</v>
      </c>
      <c r="G71" s="294">
        <f t="shared" si="14"/>
        <v>184166.66666666669</v>
      </c>
      <c r="H71" s="294">
        <f t="shared" si="17"/>
        <v>184166.66666666669</v>
      </c>
      <c r="I71" s="294">
        <f t="shared" si="12"/>
        <v>0</v>
      </c>
      <c r="J71" s="295">
        <f t="shared" si="13"/>
        <v>52000000</v>
      </c>
      <c r="K71" s="302"/>
      <c r="L71" s="302"/>
      <c r="M71" s="302"/>
      <c r="N71" s="298"/>
    </row>
    <row r="72" spans="2:14" s="291" customFormat="1" ht="12">
      <c r="B72" s="292"/>
      <c r="C72" s="292"/>
      <c r="D72" s="293">
        <f t="shared" si="15"/>
        <v>43800</v>
      </c>
      <c r="E72" s="291">
        <v>34</v>
      </c>
      <c r="F72" s="294">
        <f t="shared" si="16"/>
        <v>52000000</v>
      </c>
      <c r="G72" s="294">
        <f t="shared" si="14"/>
        <v>184166.66666666669</v>
      </c>
      <c r="H72" s="294">
        <f t="shared" si="17"/>
        <v>184166.66666666669</v>
      </c>
      <c r="I72" s="294">
        <f t="shared" si="12"/>
        <v>0</v>
      </c>
      <c r="J72" s="295">
        <f t="shared" si="13"/>
        <v>52000000</v>
      </c>
      <c r="K72" s="302"/>
      <c r="L72" s="302"/>
      <c r="M72" s="302"/>
      <c r="N72" s="298"/>
    </row>
    <row r="73" spans="2:14" s="291" customFormat="1" ht="12">
      <c r="B73" s="292"/>
      <c r="C73" s="292"/>
      <c r="D73" s="293">
        <f t="shared" si="15"/>
        <v>43831</v>
      </c>
      <c r="E73" s="291">
        <v>35</v>
      </c>
      <c r="F73" s="294">
        <f t="shared" si="16"/>
        <v>52000000</v>
      </c>
      <c r="G73" s="294">
        <f t="shared" si="14"/>
        <v>184166.66666666669</v>
      </c>
      <c r="H73" s="294">
        <f t="shared" si="17"/>
        <v>184166.66666666669</v>
      </c>
      <c r="I73" s="294">
        <f t="shared" si="12"/>
        <v>0</v>
      </c>
      <c r="J73" s="295">
        <f t="shared" si="13"/>
        <v>52000000</v>
      </c>
      <c r="K73" s="302"/>
      <c r="L73" s="302"/>
      <c r="M73" s="302"/>
      <c r="N73" s="298"/>
    </row>
    <row r="74" spans="2:14" s="291" customFormat="1" ht="12">
      <c r="B74" s="292"/>
      <c r="C74" s="292"/>
      <c r="D74" s="293">
        <f t="shared" si="15"/>
        <v>43862</v>
      </c>
      <c r="E74" s="291">
        <v>36</v>
      </c>
      <c r="F74" s="294">
        <f t="shared" si="16"/>
        <v>52000000</v>
      </c>
      <c r="G74" s="294">
        <f t="shared" si="14"/>
        <v>184166.66666666669</v>
      </c>
      <c r="H74" s="294">
        <f t="shared" si="17"/>
        <v>184166.66666666669</v>
      </c>
      <c r="I74" s="294">
        <f t="shared" si="12"/>
        <v>0</v>
      </c>
      <c r="J74" s="301">
        <f t="shared" si="13"/>
        <v>52000000</v>
      </c>
      <c r="K74" s="302">
        <f>SUM(H63:H74)</f>
        <v>2210000.0000000005</v>
      </c>
      <c r="L74" s="302">
        <f>SUM(I63:I74)</f>
        <v>0</v>
      </c>
      <c r="M74" s="302">
        <f>SUM(K74:L74)</f>
        <v>2210000.0000000005</v>
      </c>
      <c r="N74" s="298"/>
    </row>
    <row r="75" spans="2:14" s="291" customFormat="1" ht="12">
      <c r="B75" s="303">
        <v>4</v>
      </c>
      <c r="C75" s="303">
        <f>C63+1</f>
        <v>2020</v>
      </c>
      <c r="D75" s="293">
        <f t="shared" si="15"/>
        <v>43891</v>
      </c>
      <c r="E75" s="304">
        <v>37</v>
      </c>
      <c r="F75" s="305">
        <f t="shared" si="16"/>
        <v>52000000</v>
      </c>
      <c r="G75" s="305">
        <f t="shared" si="14"/>
        <v>255808.74336133149</v>
      </c>
      <c r="H75" s="305">
        <f t="shared" si="17"/>
        <v>184166.66666666669</v>
      </c>
      <c r="I75" s="305">
        <f t="shared" si="12"/>
        <v>71642.076694664807</v>
      </c>
      <c r="J75" s="306">
        <f t="shared" si="13"/>
        <v>51928357.923305333</v>
      </c>
      <c r="K75" s="307"/>
      <c r="L75" s="307"/>
      <c r="M75" s="307"/>
      <c r="N75" s="298"/>
    </row>
    <row r="76" spans="2:14" s="291" customFormat="1" ht="12">
      <c r="B76" s="292"/>
      <c r="C76" s="292"/>
      <c r="D76" s="293">
        <f t="shared" si="15"/>
        <v>43922</v>
      </c>
      <c r="E76" s="308">
        <v>38</v>
      </c>
      <c r="F76" s="309">
        <f t="shared" si="16"/>
        <v>51928357.923305333</v>
      </c>
      <c r="G76" s="309">
        <f t="shared" si="14"/>
        <v>255808.74336133149</v>
      </c>
      <c r="H76" s="309">
        <f t="shared" si="17"/>
        <v>183912.9343117064</v>
      </c>
      <c r="I76" s="309">
        <f t="shared" si="12"/>
        <v>71895.809049625095</v>
      </c>
      <c r="J76" s="310">
        <f t="shared" si="13"/>
        <v>51856462.114255704</v>
      </c>
      <c r="K76" s="311"/>
      <c r="L76" s="311"/>
      <c r="M76" s="311"/>
      <c r="N76" s="298"/>
    </row>
    <row r="77" spans="2:14" s="291" customFormat="1" ht="12">
      <c r="B77" s="292"/>
      <c r="C77" s="292"/>
      <c r="D77" s="293">
        <f t="shared" si="15"/>
        <v>43952</v>
      </c>
      <c r="E77" s="308">
        <v>39</v>
      </c>
      <c r="F77" s="309">
        <f t="shared" si="16"/>
        <v>51856462.114255704</v>
      </c>
      <c r="G77" s="309">
        <f t="shared" si="14"/>
        <v>255808.74336133149</v>
      </c>
      <c r="H77" s="309">
        <f t="shared" si="17"/>
        <v>183658.30332132231</v>
      </c>
      <c r="I77" s="309">
        <f t="shared" si="12"/>
        <v>72150.440040009184</v>
      </c>
      <c r="J77" s="310">
        <f t="shared" si="13"/>
        <v>51784311.674215697</v>
      </c>
      <c r="K77" s="312"/>
      <c r="L77" s="312"/>
      <c r="M77" s="312"/>
      <c r="N77" s="298"/>
    </row>
    <row r="78" spans="2:14" s="291" customFormat="1" ht="12">
      <c r="B78" s="292"/>
      <c r="C78" s="292"/>
      <c r="D78" s="293">
        <f t="shared" si="15"/>
        <v>43983</v>
      </c>
      <c r="E78" s="308">
        <v>40</v>
      </c>
      <c r="F78" s="309">
        <f t="shared" si="16"/>
        <v>51784311.674215697</v>
      </c>
      <c r="G78" s="309">
        <f t="shared" si="14"/>
        <v>255808.74336133149</v>
      </c>
      <c r="H78" s="309">
        <f t="shared" si="17"/>
        <v>183402.77051284726</v>
      </c>
      <c r="I78" s="309">
        <f t="shared" si="12"/>
        <v>72405.972848484234</v>
      </c>
      <c r="J78" s="310">
        <f t="shared" si="13"/>
        <v>51711905.701367214</v>
      </c>
      <c r="K78" s="312"/>
      <c r="L78" s="312"/>
      <c r="M78" s="312"/>
      <c r="N78" s="298"/>
    </row>
    <row r="79" spans="2:14" s="291" customFormat="1" ht="12">
      <c r="B79" s="292"/>
      <c r="C79" s="292"/>
      <c r="D79" s="293">
        <f t="shared" si="15"/>
        <v>44013</v>
      </c>
      <c r="E79" s="308">
        <v>41</v>
      </c>
      <c r="F79" s="309">
        <f t="shared" si="16"/>
        <v>51711905.701367214</v>
      </c>
      <c r="G79" s="309">
        <f t="shared" si="14"/>
        <v>255808.74336133149</v>
      </c>
      <c r="H79" s="309">
        <f t="shared" si="17"/>
        <v>183146.33269234223</v>
      </c>
      <c r="I79" s="309">
        <f t="shared" si="12"/>
        <v>72662.410668989265</v>
      </c>
      <c r="J79" s="310">
        <f t="shared" si="13"/>
        <v>51639243.290698223</v>
      </c>
      <c r="K79" s="312"/>
      <c r="L79" s="312"/>
      <c r="M79" s="312"/>
      <c r="N79" s="298"/>
    </row>
    <row r="80" spans="2:14" s="291" customFormat="1" ht="12">
      <c r="B80" s="292"/>
      <c r="C80" s="292"/>
      <c r="D80" s="293">
        <f t="shared" si="15"/>
        <v>44044</v>
      </c>
      <c r="E80" s="308">
        <v>42</v>
      </c>
      <c r="F80" s="309">
        <f t="shared" si="16"/>
        <v>51639243.290698223</v>
      </c>
      <c r="G80" s="309">
        <f t="shared" si="14"/>
        <v>255808.74336133149</v>
      </c>
      <c r="H80" s="309">
        <f t="shared" si="17"/>
        <v>182888.98665455621</v>
      </c>
      <c r="I80" s="309">
        <f t="shared" si="12"/>
        <v>72919.756706775283</v>
      </c>
      <c r="J80" s="310">
        <f t="shared" si="13"/>
        <v>51566323.533991449</v>
      </c>
      <c r="K80" s="312"/>
      <c r="L80" s="312"/>
      <c r="M80" s="312"/>
      <c r="N80" s="298"/>
    </row>
    <row r="81" spans="2:14" s="291" customFormat="1" ht="12">
      <c r="B81" s="292"/>
      <c r="C81" s="292"/>
      <c r="D81" s="293">
        <f t="shared" si="15"/>
        <v>44075</v>
      </c>
      <c r="E81" s="308">
        <v>43</v>
      </c>
      <c r="F81" s="309">
        <f t="shared" si="16"/>
        <v>51566323.533991449</v>
      </c>
      <c r="G81" s="309">
        <f t="shared" si="14"/>
        <v>255808.74336133149</v>
      </c>
      <c r="H81" s="309">
        <f t="shared" si="17"/>
        <v>182630.7291828864</v>
      </c>
      <c r="I81" s="309">
        <f t="shared" si="12"/>
        <v>73178.014178445097</v>
      </c>
      <c r="J81" s="310">
        <f t="shared" si="13"/>
        <v>51493145.519813001</v>
      </c>
      <c r="K81" s="312"/>
      <c r="L81" s="312"/>
      <c r="M81" s="312"/>
      <c r="N81" s="298"/>
    </row>
    <row r="82" spans="2:14" s="291" customFormat="1" ht="12">
      <c r="B82" s="292"/>
      <c r="C82" s="292"/>
      <c r="D82" s="293">
        <f t="shared" si="15"/>
        <v>44105</v>
      </c>
      <c r="E82" s="308">
        <v>44</v>
      </c>
      <c r="F82" s="309">
        <f t="shared" si="16"/>
        <v>51493145.519813001</v>
      </c>
      <c r="G82" s="309">
        <f t="shared" si="14"/>
        <v>255808.74336133149</v>
      </c>
      <c r="H82" s="309">
        <f t="shared" si="17"/>
        <v>182371.55704933772</v>
      </c>
      <c r="I82" s="309">
        <f t="shared" si="12"/>
        <v>73437.186311993777</v>
      </c>
      <c r="J82" s="310">
        <f t="shared" si="13"/>
        <v>51419708.333501004</v>
      </c>
      <c r="K82" s="312"/>
      <c r="L82" s="312"/>
      <c r="M82" s="312"/>
      <c r="N82" s="298"/>
    </row>
    <row r="83" spans="2:14" s="291" customFormat="1" ht="12">
      <c r="B83" s="292"/>
      <c r="C83" s="292"/>
      <c r="D83" s="293">
        <f t="shared" si="15"/>
        <v>44136</v>
      </c>
      <c r="E83" s="308">
        <v>45</v>
      </c>
      <c r="F83" s="309">
        <f t="shared" si="16"/>
        <v>51419708.333501004</v>
      </c>
      <c r="G83" s="309">
        <f t="shared" si="14"/>
        <v>255808.74336133149</v>
      </c>
      <c r="H83" s="309">
        <f t="shared" si="17"/>
        <v>182111.46701448274</v>
      </c>
      <c r="I83" s="309">
        <f t="shared" si="12"/>
        <v>73697.276346848754</v>
      </c>
      <c r="J83" s="310">
        <f t="shared" si="13"/>
        <v>51346011.057154156</v>
      </c>
      <c r="K83" s="312"/>
      <c r="L83" s="312"/>
      <c r="M83" s="312"/>
      <c r="N83" s="298"/>
    </row>
    <row r="84" spans="2:14" s="291" customFormat="1" ht="12">
      <c r="B84" s="292"/>
      <c r="C84" s="292"/>
      <c r="D84" s="293">
        <f t="shared" si="15"/>
        <v>44166</v>
      </c>
      <c r="E84" s="308">
        <v>46</v>
      </c>
      <c r="F84" s="309">
        <f t="shared" si="16"/>
        <v>51346011.057154156</v>
      </c>
      <c r="G84" s="309">
        <f t="shared" si="14"/>
        <v>255808.74336133149</v>
      </c>
      <c r="H84" s="309">
        <f t="shared" si="17"/>
        <v>181850.45582742098</v>
      </c>
      <c r="I84" s="309">
        <f t="shared" si="12"/>
        <v>73958.287533910509</v>
      </c>
      <c r="J84" s="310">
        <f t="shared" si="13"/>
        <v>51272052.769620247</v>
      </c>
      <c r="K84" s="312"/>
      <c r="L84" s="312"/>
      <c r="M84" s="312"/>
      <c r="N84" s="298"/>
    </row>
    <row r="85" spans="2:14" s="291" customFormat="1" ht="12">
      <c r="B85" s="292"/>
      <c r="C85" s="292"/>
      <c r="D85" s="293">
        <f t="shared" si="15"/>
        <v>44197</v>
      </c>
      <c r="E85" s="308">
        <v>47</v>
      </c>
      <c r="F85" s="309">
        <f t="shared" si="16"/>
        <v>51272052.769620247</v>
      </c>
      <c r="G85" s="309">
        <f t="shared" si="14"/>
        <v>255808.74336133149</v>
      </c>
      <c r="H85" s="309">
        <f t="shared" si="17"/>
        <v>181588.52022573838</v>
      </c>
      <c r="I85" s="309">
        <f t="shared" si="12"/>
        <v>74220.223135593114</v>
      </c>
      <c r="J85" s="310">
        <f t="shared" si="13"/>
        <v>51197832.546484657</v>
      </c>
      <c r="K85" s="312"/>
      <c r="L85" s="312"/>
      <c r="M85" s="312"/>
      <c r="N85" s="298"/>
    </row>
    <row r="86" spans="2:14" s="291" customFormat="1" ht="12">
      <c r="B86" s="292"/>
      <c r="C86" s="292"/>
      <c r="D86" s="293">
        <f t="shared" si="15"/>
        <v>44228</v>
      </c>
      <c r="E86" s="314">
        <v>48</v>
      </c>
      <c r="F86" s="315">
        <f t="shared" si="16"/>
        <v>51197832.546484657</v>
      </c>
      <c r="G86" s="315">
        <f t="shared" si="14"/>
        <v>255808.74336133149</v>
      </c>
      <c r="H86" s="315">
        <f t="shared" si="17"/>
        <v>181325.65693546651</v>
      </c>
      <c r="I86" s="315">
        <f t="shared" si="12"/>
        <v>74483.086425864982</v>
      </c>
      <c r="J86" s="316">
        <f t="shared" si="13"/>
        <v>51123349.460058793</v>
      </c>
      <c r="K86" s="317">
        <f>SUM(H75:H86)</f>
        <v>2193054.380394774</v>
      </c>
      <c r="L86" s="317">
        <f>SUM(I75:I86)</f>
        <v>876650.53994120413</v>
      </c>
      <c r="M86" s="317">
        <f>SUM(K86:L86)</f>
        <v>3069704.9203359783</v>
      </c>
      <c r="N86" s="298"/>
    </row>
    <row r="87" spans="2:14">
      <c r="B87" s="303">
        <v>5</v>
      </c>
      <c r="C87" s="303">
        <f>C75+1</f>
        <v>2021</v>
      </c>
      <c r="D87" s="293">
        <f t="shared" si="15"/>
        <v>44256</v>
      </c>
      <c r="E87" s="321">
        <v>49</v>
      </c>
      <c r="F87" s="322">
        <f t="shared" si="16"/>
        <v>51123349.460058793</v>
      </c>
      <c r="G87" s="322">
        <f t="shared" si="14"/>
        <v>255808.74336133149</v>
      </c>
      <c r="H87" s="322">
        <f t="shared" si="17"/>
        <v>181061.86267104157</v>
      </c>
      <c r="I87" s="322">
        <f t="shared" si="12"/>
        <v>74746.880690289923</v>
      </c>
      <c r="J87" s="323">
        <f t="shared" si="13"/>
        <v>51048602.579368502</v>
      </c>
      <c r="K87" s="324"/>
      <c r="L87" s="324"/>
      <c r="M87" s="324"/>
    </row>
    <row r="88" spans="2:14">
      <c r="B88" s="292"/>
      <c r="C88" s="292"/>
      <c r="D88" s="293">
        <f t="shared" si="15"/>
        <v>44287</v>
      </c>
      <c r="E88" s="291">
        <v>50</v>
      </c>
      <c r="F88" s="294">
        <f t="shared" si="16"/>
        <v>51048602.579368502</v>
      </c>
      <c r="G88" s="294">
        <f t="shared" si="14"/>
        <v>255808.74336133149</v>
      </c>
      <c r="H88" s="294">
        <f t="shared" si="17"/>
        <v>180797.13413526345</v>
      </c>
      <c r="I88" s="294">
        <f t="shared" si="12"/>
        <v>75011.609226068045</v>
      </c>
      <c r="J88" s="295">
        <f t="shared" si="13"/>
        <v>50973590.970142432</v>
      </c>
      <c r="K88" s="302"/>
      <c r="L88" s="302"/>
      <c r="M88" s="302"/>
    </row>
    <row r="89" spans="2:14">
      <c r="B89" s="292"/>
      <c r="C89" s="292"/>
      <c r="D89" s="293">
        <f t="shared" si="15"/>
        <v>44317</v>
      </c>
      <c r="E89" s="291">
        <v>51</v>
      </c>
      <c r="F89" s="294">
        <f t="shared" si="16"/>
        <v>50973590.970142432</v>
      </c>
      <c r="G89" s="294">
        <f t="shared" si="14"/>
        <v>255808.74336133149</v>
      </c>
      <c r="H89" s="294">
        <f t="shared" si="17"/>
        <v>180531.46801925445</v>
      </c>
      <c r="I89" s="294">
        <f t="shared" si="12"/>
        <v>75277.275342077046</v>
      </c>
      <c r="J89" s="295">
        <f t="shared" si="13"/>
        <v>50898313.694800355</v>
      </c>
      <c r="K89" s="302"/>
      <c r="L89" s="302"/>
      <c r="M89" s="302"/>
    </row>
    <row r="90" spans="2:14">
      <c r="B90" s="292"/>
      <c r="C90" s="292"/>
      <c r="D90" s="293">
        <f t="shared" si="15"/>
        <v>44348</v>
      </c>
      <c r="E90" s="291">
        <v>52</v>
      </c>
      <c r="F90" s="294">
        <f t="shared" si="16"/>
        <v>50898313.694800355</v>
      </c>
      <c r="G90" s="294">
        <f t="shared" si="14"/>
        <v>255808.74336133149</v>
      </c>
      <c r="H90" s="294">
        <f t="shared" si="17"/>
        <v>180264.86100241792</v>
      </c>
      <c r="I90" s="294">
        <f t="shared" si="12"/>
        <v>75543.882358913572</v>
      </c>
      <c r="J90" s="295">
        <f t="shared" si="13"/>
        <v>50822769.812441438</v>
      </c>
      <c r="K90" s="302"/>
      <c r="L90" s="302"/>
      <c r="M90" s="302"/>
    </row>
    <row r="91" spans="2:14">
      <c r="B91" s="292"/>
      <c r="C91" s="292"/>
      <c r="D91" s="293">
        <f t="shared" si="15"/>
        <v>44378</v>
      </c>
      <c r="E91" s="291">
        <v>53</v>
      </c>
      <c r="F91" s="294">
        <f t="shared" si="16"/>
        <v>50822769.812441438</v>
      </c>
      <c r="G91" s="294">
        <f t="shared" si="14"/>
        <v>255808.74336133149</v>
      </c>
      <c r="H91" s="294">
        <f t="shared" si="17"/>
        <v>179997.30975239677</v>
      </c>
      <c r="I91" s="294">
        <f t="shared" si="12"/>
        <v>75811.43360893472</v>
      </c>
      <c r="J91" s="295">
        <f t="shared" si="13"/>
        <v>50746958.378832504</v>
      </c>
      <c r="K91" s="302"/>
      <c r="L91" s="302"/>
      <c r="M91" s="302"/>
    </row>
    <row r="92" spans="2:14">
      <c r="B92" s="292"/>
      <c r="C92" s="292"/>
      <c r="D92" s="293">
        <f t="shared" si="15"/>
        <v>44409</v>
      </c>
      <c r="E92" s="291">
        <v>54</v>
      </c>
      <c r="F92" s="294">
        <f t="shared" si="16"/>
        <v>50746958.378832504</v>
      </c>
      <c r="G92" s="294">
        <f t="shared" si="14"/>
        <v>255808.74336133149</v>
      </c>
      <c r="H92" s="294">
        <f t="shared" si="17"/>
        <v>179728.81092503181</v>
      </c>
      <c r="I92" s="294">
        <f t="shared" si="12"/>
        <v>76079.932436299685</v>
      </c>
      <c r="J92" s="295">
        <f t="shared" si="13"/>
        <v>50670878.446396202</v>
      </c>
      <c r="K92" s="302"/>
      <c r="L92" s="302"/>
      <c r="M92" s="302"/>
    </row>
    <row r="93" spans="2:14">
      <c r="B93" s="292"/>
      <c r="C93" s="292"/>
      <c r="D93" s="293">
        <f t="shared" si="15"/>
        <v>44440</v>
      </c>
      <c r="E93" s="291">
        <v>55</v>
      </c>
      <c r="F93" s="294">
        <f t="shared" si="16"/>
        <v>50670878.446396202</v>
      </c>
      <c r="G93" s="294">
        <f t="shared" si="14"/>
        <v>255808.74336133149</v>
      </c>
      <c r="H93" s="294">
        <f t="shared" si="17"/>
        <v>179459.36116431988</v>
      </c>
      <c r="I93" s="294">
        <f t="shared" si="12"/>
        <v>76349.382197011611</v>
      </c>
      <c r="J93" s="295">
        <f t="shared" si="13"/>
        <v>50594529.064199187</v>
      </c>
      <c r="K93" s="302"/>
      <c r="L93" s="302"/>
      <c r="M93" s="302"/>
    </row>
    <row r="94" spans="2:14">
      <c r="B94" s="292"/>
      <c r="C94" s="292"/>
      <c r="D94" s="293">
        <f t="shared" si="15"/>
        <v>44470</v>
      </c>
      <c r="E94" s="291">
        <v>56</v>
      </c>
      <c r="F94" s="294">
        <f t="shared" si="16"/>
        <v>50594529.064199187</v>
      </c>
      <c r="G94" s="294">
        <f t="shared" si="14"/>
        <v>255808.74336133149</v>
      </c>
      <c r="H94" s="294">
        <f t="shared" si="17"/>
        <v>179188.95710237214</v>
      </c>
      <c r="I94" s="294">
        <f t="shared" si="12"/>
        <v>76619.786258959357</v>
      </c>
      <c r="J94" s="295">
        <f t="shared" si="13"/>
        <v>50517909.277940229</v>
      </c>
      <c r="K94" s="302"/>
      <c r="L94" s="302"/>
      <c r="M94" s="302"/>
    </row>
    <row r="95" spans="2:14">
      <c r="B95" s="292"/>
      <c r="C95" s="292"/>
      <c r="D95" s="293">
        <f t="shared" si="15"/>
        <v>44501</v>
      </c>
      <c r="E95" s="291">
        <v>57</v>
      </c>
      <c r="F95" s="294">
        <f t="shared" si="16"/>
        <v>50517909.277940229</v>
      </c>
      <c r="G95" s="294">
        <f t="shared" si="14"/>
        <v>255808.74336133149</v>
      </c>
      <c r="H95" s="294">
        <f t="shared" si="17"/>
        <v>178917.59535937165</v>
      </c>
      <c r="I95" s="294">
        <f t="shared" si="12"/>
        <v>76891.148001959838</v>
      </c>
      <c r="J95" s="295">
        <f t="shared" si="13"/>
        <v>50441018.129938267</v>
      </c>
      <c r="K95" s="302"/>
      <c r="L95" s="302"/>
      <c r="M95" s="302"/>
    </row>
    <row r="96" spans="2:14">
      <c r="B96" s="292"/>
      <c r="C96" s="292"/>
      <c r="D96" s="293">
        <f t="shared" si="15"/>
        <v>44531</v>
      </c>
      <c r="E96" s="291">
        <v>58</v>
      </c>
      <c r="F96" s="294">
        <f t="shared" si="16"/>
        <v>50441018.129938267</v>
      </c>
      <c r="G96" s="294">
        <f t="shared" si="14"/>
        <v>255808.74336133149</v>
      </c>
      <c r="H96" s="294">
        <f t="shared" si="17"/>
        <v>178645.27254353138</v>
      </c>
      <c r="I96" s="294">
        <f t="shared" si="12"/>
        <v>77163.470817800116</v>
      </c>
      <c r="J96" s="295">
        <f t="shared" si="13"/>
        <v>50363854.65912047</v>
      </c>
      <c r="K96" s="302"/>
      <c r="L96" s="302"/>
      <c r="M96" s="302"/>
    </row>
    <row r="97" spans="2:13">
      <c r="B97" s="292"/>
      <c r="C97" s="292"/>
      <c r="D97" s="293">
        <f t="shared" si="15"/>
        <v>44562</v>
      </c>
      <c r="E97" s="291">
        <v>59</v>
      </c>
      <c r="F97" s="294">
        <f t="shared" si="16"/>
        <v>50363854.65912047</v>
      </c>
      <c r="G97" s="294">
        <f t="shared" si="14"/>
        <v>255808.74336133149</v>
      </c>
      <c r="H97" s="294">
        <f t="shared" si="17"/>
        <v>178371.98525105166</v>
      </c>
      <c r="I97" s="294">
        <f t="shared" si="12"/>
        <v>77436.758110279829</v>
      </c>
      <c r="J97" s="295">
        <f t="shared" si="13"/>
        <v>50286417.901010193</v>
      </c>
      <c r="K97" s="302"/>
      <c r="L97" s="302"/>
      <c r="M97" s="302"/>
    </row>
    <row r="98" spans="2:13">
      <c r="B98" s="292"/>
      <c r="C98" s="292"/>
      <c r="D98" s="293">
        <f t="shared" si="15"/>
        <v>44593</v>
      </c>
      <c r="E98" s="325">
        <v>60</v>
      </c>
      <c r="F98" s="326">
        <f t="shared" si="16"/>
        <v>50286417.901010193</v>
      </c>
      <c r="G98" s="326">
        <f t="shared" si="14"/>
        <v>255808.74336133149</v>
      </c>
      <c r="H98" s="326">
        <f t="shared" si="17"/>
        <v>178097.73006607778</v>
      </c>
      <c r="I98" s="326">
        <f t="shared" si="12"/>
        <v>77711.01329525371</v>
      </c>
      <c r="J98" s="327">
        <f t="shared" si="13"/>
        <v>50208706.887714937</v>
      </c>
      <c r="K98" s="328">
        <f>SUM(H87:H98)</f>
        <v>2155062.3479921306</v>
      </c>
      <c r="L98" s="328">
        <f>SUM(I87:I98)</f>
        <v>914642.5723438476</v>
      </c>
      <c r="M98" s="328">
        <f>SUM(K98:L98)</f>
        <v>3069704.9203359783</v>
      </c>
    </row>
    <row r="99" spans="2:13">
      <c r="B99" s="303">
        <v>6</v>
      </c>
      <c r="C99" s="303">
        <f>C87+1</f>
        <v>2022</v>
      </c>
      <c r="D99" s="293">
        <f t="shared" si="15"/>
        <v>44621</v>
      </c>
      <c r="E99" s="304">
        <v>61</v>
      </c>
      <c r="F99" s="305">
        <f t="shared" si="16"/>
        <v>50208706.887714937</v>
      </c>
      <c r="G99" s="305">
        <f t="shared" si="14"/>
        <v>255808.74336133149</v>
      </c>
      <c r="H99" s="305">
        <f t="shared" si="17"/>
        <v>177822.50356065709</v>
      </c>
      <c r="I99" s="305">
        <f t="shared" si="12"/>
        <v>77986.239800674404</v>
      </c>
      <c r="J99" s="306">
        <f t="shared" si="13"/>
        <v>50130720.647914261</v>
      </c>
      <c r="K99" s="307"/>
      <c r="L99" s="307"/>
      <c r="M99" s="307"/>
    </row>
    <row r="100" spans="2:13">
      <c r="B100" s="292"/>
      <c r="C100" s="292"/>
      <c r="D100" s="293">
        <f t="shared" si="15"/>
        <v>44652</v>
      </c>
      <c r="E100" s="308">
        <v>62</v>
      </c>
      <c r="F100" s="309">
        <f t="shared" si="16"/>
        <v>50130720.647914261</v>
      </c>
      <c r="G100" s="309">
        <f t="shared" si="14"/>
        <v>255808.74336133149</v>
      </c>
      <c r="H100" s="309">
        <f t="shared" si="17"/>
        <v>177546.30229469636</v>
      </c>
      <c r="I100" s="309">
        <f t="shared" si="12"/>
        <v>78262.441066635132</v>
      </c>
      <c r="J100" s="310">
        <f t="shared" si="13"/>
        <v>50052458.206847623</v>
      </c>
      <c r="K100" s="311"/>
      <c r="L100" s="311"/>
      <c r="M100" s="311"/>
    </row>
    <row r="101" spans="2:13">
      <c r="B101" s="292"/>
      <c r="C101" s="292"/>
      <c r="D101" s="293">
        <f t="shared" si="15"/>
        <v>44682</v>
      </c>
      <c r="E101" s="308">
        <v>63</v>
      </c>
      <c r="F101" s="309">
        <f t="shared" si="16"/>
        <v>50052458.206847623</v>
      </c>
      <c r="G101" s="309">
        <f t="shared" si="14"/>
        <v>255808.74336133149</v>
      </c>
      <c r="H101" s="309">
        <f t="shared" si="17"/>
        <v>177269.12281591867</v>
      </c>
      <c r="I101" s="309">
        <f t="shared" si="12"/>
        <v>78539.620545412821</v>
      </c>
      <c r="J101" s="310">
        <f t="shared" si="13"/>
        <v>49973918.586302213</v>
      </c>
      <c r="K101" s="312"/>
      <c r="L101" s="312"/>
      <c r="M101" s="312"/>
    </row>
    <row r="102" spans="2:13">
      <c r="B102" s="292"/>
      <c r="C102" s="292"/>
      <c r="D102" s="293">
        <f t="shared" si="15"/>
        <v>44713</v>
      </c>
      <c r="E102" s="308">
        <v>64</v>
      </c>
      <c r="F102" s="309">
        <f t="shared" si="16"/>
        <v>49973918.586302213</v>
      </c>
      <c r="G102" s="309">
        <f t="shared" si="14"/>
        <v>255808.74336133149</v>
      </c>
      <c r="H102" s="309">
        <f t="shared" si="17"/>
        <v>176990.96165982034</v>
      </c>
      <c r="I102" s="309">
        <f t="shared" si="12"/>
        <v>78817.78170151115</v>
      </c>
      <c r="J102" s="310">
        <f t="shared" si="13"/>
        <v>49895100.804600701</v>
      </c>
      <c r="K102" s="312"/>
      <c r="L102" s="312"/>
      <c r="M102" s="312"/>
    </row>
    <row r="103" spans="2:13">
      <c r="B103" s="292"/>
      <c r="C103" s="292"/>
      <c r="D103" s="293">
        <f t="shared" si="15"/>
        <v>44743</v>
      </c>
      <c r="E103" s="308">
        <v>65</v>
      </c>
      <c r="F103" s="309">
        <f t="shared" si="16"/>
        <v>49895100.804600701</v>
      </c>
      <c r="G103" s="309">
        <f t="shared" si="14"/>
        <v>255808.74336133149</v>
      </c>
      <c r="H103" s="309">
        <f t="shared" si="17"/>
        <v>176711.81534962749</v>
      </c>
      <c r="I103" s="309">
        <f t="shared" ref="I103:I166" si="18">IF(E103&lt;=$I$9,0,$C$9-H103)</f>
        <v>79096.928011704003</v>
      </c>
      <c r="J103" s="310">
        <f t="shared" ref="J103:J166" si="19">F103-I103</f>
        <v>49816003.876589</v>
      </c>
      <c r="K103" s="312"/>
      <c r="L103" s="312"/>
      <c r="M103" s="312"/>
    </row>
    <row r="104" spans="2:13">
      <c r="B104" s="292"/>
      <c r="C104" s="292"/>
      <c r="D104" s="293">
        <f t="shared" si="15"/>
        <v>44774</v>
      </c>
      <c r="E104" s="308">
        <v>66</v>
      </c>
      <c r="F104" s="309">
        <f t="shared" si="16"/>
        <v>49816003.876589</v>
      </c>
      <c r="G104" s="309">
        <f t="shared" ref="G104:G167" si="20">H104+I104</f>
        <v>255808.74336133149</v>
      </c>
      <c r="H104" s="309">
        <f t="shared" si="17"/>
        <v>176431.68039625272</v>
      </c>
      <c r="I104" s="309">
        <f t="shared" si="18"/>
        <v>79377.062965078774</v>
      </c>
      <c r="J104" s="310">
        <f t="shared" si="19"/>
        <v>49736626.81362392</v>
      </c>
      <c r="K104" s="312"/>
      <c r="L104" s="312"/>
      <c r="M104" s="312"/>
    </row>
    <row r="105" spans="2:13">
      <c r="B105" s="292"/>
      <c r="C105" s="292"/>
      <c r="D105" s="293">
        <f t="shared" ref="D105:D168" si="21">DATE(YEAR(D104),MONTH(D104)+1,1)</f>
        <v>44805</v>
      </c>
      <c r="E105" s="308">
        <v>67</v>
      </c>
      <c r="F105" s="309">
        <f t="shared" ref="F105:F168" si="22">J104</f>
        <v>49736626.81362392</v>
      </c>
      <c r="G105" s="309">
        <f t="shared" si="20"/>
        <v>255808.74336133149</v>
      </c>
      <c r="H105" s="309">
        <f t="shared" ref="H105:H168" si="23">$C$6*F105</f>
        <v>176150.55329825138</v>
      </c>
      <c r="I105" s="309">
        <f t="shared" si="18"/>
        <v>79658.19006308011</v>
      </c>
      <c r="J105" s="310">
        <f t="shared" si="19"/>
        <v>49656968.623560838</v>
      </c>
      <c r="K105" s="312"/>
      <c r="L105" s="312"/>
      <c r="M105" s="312"/>
    </row>
    <row r="106" spans="2:13">
      <c r="B106" s="292"/>
      <c r="C106" s="292"/>
      <c r="D106" s="293">
        <f t="shared" si="21"/>
        <v>44835</v>
      </c>
      <c r="E106" s="308">
        <v>68</v>
      </c>
      <c r="F106" s="309">
        <f t="shared" si="22"/>
        <v>49656968.623560838</v>
      </c>
      <c r="G106" s="309">
        <f t="shared" si="20"/>
        <v>255808.74336133149</v>
      </c>
      <c r="H106" s="309">
        <f t="shared" si="23"/>
        <v>175868.43054177798</v>
      </c>
      <c r="I106" s="309">
        <f t="shared" si="18"/>
        <v>79940.31281955351</v>
      </c>
      <c r="J106" s="310">
        <f t="shared" si="19"/>
        <v>49577028.310741283</v>
      </c>
      <c r="K106" s="312"/>
      <c r="L106" s="312"/>
      <c r="M106" s="312"/>
    </row>
    <row r="107" spans="2:13">
      <c r="B107" s="292"/>
      <c r="C107" s="292"/>
      <c r="D107" s="293">
        <f t="shared" si="21"/>
        <v>44866</v>
      </c>
      <c r="E107" s="308">
        <v>69</v>
      </c>
      <c r="F107" s="309">
        <f t="shared" si="22"/>
        <v>49577028.310741283</v>
      </c>
      <c r="G107" s="309">
        <f t="shared" si="20"/>
        <v>255808.74336133149</v>
      </c>
      <c r="H107" s="309">
        <f t="shared" si="23"/>
        <v>175585.30860054205</v>
      </c>
      <c r="I107" s="309">
        <f t="shared" si="18"/>
        <v>80223.434760789445</v>
      </c>
      <c r="J107" s="310">
        <f t="shared" si="19"/>
        <v>49496804.875980496</v>
      </c>
      <c r="K107" s="312"/>
      <c r="L107" s="312"/>
      <c r="M107" s="312"/>
    </row>
    <row r="108" spans="2:13">
      <c r="B108" s="292"/>
      <c r="C108" s="292"/>
      <c r="D108" s="293">
        <f t="shared" si="21"/>
        <v>44896</v>
      </c>
      <c r="E108" s="308">
        <v>70</v>
      </c>
      <c r="F108" s="309">
        <f t="shared" si="22"/>
        <v>49496804.875980496</v>
      </c>
      <c r="G108" s="309">
        <f t="shared" si="20"/>
        <v>255808.74336133149</v>
      </c>
      <c r="H108" s="309">
        <f t="shared" si="23"/>
        <v>175301.18393576427</v>
      </c>
      <c r="I108" s="309">
        <f t="shared" si="18"/>
        <v>80507.559425567219</v>
      </c>
      <c r="J108" s="310">
        <f t="shared" si="19"/>
        <v>49416297.316554926</v>
      </c>
      <c r="K108" s="312"/>
      <c r="L108" s="312"/>
      <c r="M108" s="312"/>
    </row>
    <row r="109" spans="2:13">
      <c r="B109" s="292"/>
      <c r="C109" s="292"/>
      <c r="D109" s="293">
        <f t="shared" si="21"/>
        <v>44927</v>
      </c>
      <c r="E109" s="308">
        <v>71</v>
      </c>
      <c r="F109" s="309">
        <f t="shared" si="22"/>
        <v>49416297.316554926</v>
      </c>
      <c r="G109" s="309">
        <f t="shared" si="20"/>
        <v>255808.74336133149</v>
      </c>
      <c r="H109" s="309">
        <f t="shared" si="23"/>
        <v>175016.05299613206</v>
      </c>
      <c r="I109" s="309">
        <f t="shared" si="18"/>
        <v>80792.690365199436</v>
      </c>
      <c r="J109" s="310">
        <f t="shared" si="19"/>
        <v>49335504.626189724</v>
      </c>
      <c r="K109" s="312"/>
      <c r="L109" s="312"/>
      <c r="M109" s="312"/>
    </row>
    <row r="110" spans="2:13">
      <c r="B110" s="292"/>
      <c r="C110" s="292"/>
      <c r="D110" s="293">
        <f t="shared" si="21"/>
        <v>44958</v>
      </c>
      <c r="E110" s="314">
        <v>72</v>
      </c>
      <c r="F110" s="315">
        <f t="shared" si="22"/>
        <v>49335504.626189724</v>
      </c>
      <c r="G110" s="315">
        <f t="shared" si="20"/>
        <v>255808.74336133149</v>
      </c>
      <c r="H110" s="315">
        <f t="shared" si="23"/>
        <v>174729.91221775528</v>
      </c>
      <c r="I110" s="315">
        <f t="shared" si="18"/>
        <v>81078.831143576215</v>
      </c>
      <c r="J110" s="316">
        <f t="shared" si="19"/>
        <v>49254425.795046151</v>
      </c>
      <c r="K110" s="317">
        <f>SUM(H99:H110)</f>
        <v>2115423.8276671958</v>
      </c>
      <c r="L110" s="317">
        <f>SUM(I99:I110)</f>
        <v>954281.09266878222</v>
      </c>
      <c r="M110" s="317">
        <f>SUM(K110:L110)</f>
        <v>3069704.9203359783</v>
      </c>
    </row>
    <row r="111" spans="2:13">
      <c r="B111" s="303">
        <v>7</v>
      </c>
      <c r="C111" s="303">
        <f>C99+1</f>
        <v>2023</v>
      </c>
      <c r="D111" s="293">
        <f t="shared" si="21"/>
        <v>44986</v>
      </c>
      <c r="E111" s="321">
        <v>73</v>
      </c>
      <c r="F111" s="322">
        <f t="shared" si="22"/>
        <v>49254425.795046151</v>
      </c>
      <c r="G111" s="322">
        <f t="shared" si="20"/>
        <v>255808.74336133149</v>
      </c>
      <c r="H111" s="322">
        <f t="shared" si="23"/>
        <v>174442.75802412181</v>
      </c>
      <c r="I111" s="322">
        <f t="shared" si="18"/>
        <v>81365.985337209684</v>
      </c>
      <c r="J111" s="323">
        <f t="shared" si="19"/>
        <v>49173059.809708938</v>
      </c>
      <c r="K111" s="324"/>
      <c r="L111" s="324"/>
      <c r="M111" s="324"/>
    </row>
    <row r="112" spans="2:13">
      <c r="B112" s="292"/>
      <c r="C112" s="292"/>
      <c r="D112" s="293">
        <f t="shared" si="21"/>
        <v>45017</v>
      </c>
      <c r="E112" s="291">
        <v>74</v>
      </c>
      <c r="F112" s="294">
        <f t="shared" si="22"/>
        <v>49173059.809708938</v>
      </c>
      <c r="G112" s="294">
        <f t="shared" si="20"/>
        <v>255808.74336133149</v>
      </c>
      <c r="H112" s="294">
        <f t="shared" si="23"/>
        <v>174154.58682605249</v>
      </c>
      <c r="I112" s="294">
        <f t="shared" si="18"/>
        <v>81654.156535279006</v>
      </c>
      <c r="J112" s="319">
        <f t="shared" si="19"/>
        <v>49091405.653173655</v>
      </c>
      <c r="K112" s="302"/>
      <c r="L112" s="302"/>
      <c r="M112" s="302"/>
    </row>
    <row r="113" spans="2:13">
      <c r="B113" s="292"/>
      <c r="C113" s="292"/>
      <c r="D113" s="293">
        <f t="shared" si="21"/>
        <v>45047</v>
      </c>
      <c r="E113" s="291">
        <v>75</v>
      </c>
      <c r="F113" s="294">
        <f t="shared" si="22"/>
        <v>49091405.653173655</v>
      </c>
      <c r="G113" s="294">
        <f t="shared" si="20"/>
        <v>255808.74336133149</v>
      </c>
      <c r="H113" s="294">
        <f t="shared" si="23"/>
        <v>173865.3950216567</v>
      </c>
      <c r="I113" s="294">
        <f t="shared" si="18"/>
        <v>81943.348339674791</v>
      </c>
      <c r="J113" s="295">
        <f t="shared" si="19"/>
        <v>49009462.304833978</v>
      </c>
      <c r="K113" s="302"/>
      <c r="L113" s="302"/>
      <c r="M113" s="302"/>
    </row>
    <row r="114" spans="2:13">
      <c r="B114" s="292"/>
      <c r="C114" s="292"/>
      <c r="D114" s="293">
        <f t="shared" si="21"/>
        <v>45078</v>
      </c>
      <c r="E114" s="291">
        <v>76</v>
      </c>
      <c r="F114" s="294">
        <f t="shared" si="22"/>
        <v>49009462.304833978</v>
      </c>
      <c r="G114" s="294">
        <f t="shared" si="20"/>
        <v>255808.74336133149</v>
      </c>
      <c r="H114" s="294">
        <f t="shared" si="23"/>
        <v>173575.17899628702</v>
      </c>
      <c r="I114" s="294">
        <f t="shared" si="18"/>
        <v>82233.564365044469</v>
      </c>
      <c r="J114" s="295">
        <f t="shared" si="19"/>
        <v>48927228.740468934</v>
      </c>
      <c r="K114" s="302"/>
      <c r="L114" s="302"/>
      <c r="M114" s="302"/>
    </row>
    <row r="115" spans="2:13">
      <c r="B115" s="292"/>
      <c r="C115" s="292"/>
      <c r="D115" s="293">
        <f t="shared" si="21"/>
        <v>45108</v>
      </c>
      <c r="E115" s="291">
        <v>77</v>
      </c>
      <c r="F115" s="294">
        <f t="shared" si="22"/>
        <v>48927228.740468934</v>
      </c>
      <c r="G115" s="294">
        <f t="shared" si="20"/>
        <v>255808.74336133149</v>
      </c>
      <c r="H115" s="294">
        <f t="shared" si="23"/>
        <v>173283.93512249415</v>
      </c>
      <c r="I115" s="294">
        <f t="shared" si="18"/>
        <v>82524.808238837344</v>
      </c>
      <c r="J115" s="295">
        <f t="shared" si="19"/>
        <v>48844703.9322301</v>
      </c>
      <c r="K115" s="302"/>
      <c r="L115" s="302"/>
      <c r="M115" s="302"/>
    </row>
    <row r="116" spans="2:13">
      <c r="B116" s="292"/>
      <c r="C116" s="292"/>
      <c r="D116" s="293">
        <f t="shared" si="21"/>
        <v>45139</v>
      </c>
      <c r="E116" s="291">
        <v>78</v>
      </c>
      <c r="F116" s="294">
        <f t="shared" si="22"/>
        <v>48844703.9322301</v>
      </c>
      <c r="G116" s="294">
        <f t="shared" si="20"/>
        <v>255808.74336133149</v>
      </c>
      <c r="H116" s="294">
        <f t="shared" si="23"/>
        <v>172991.65975998162</v>
      </c>
      <c r="I116" s="294">
        <f t="shared" si="18"/>
        <v>82817.083601349877</v>
      </c>
      <c r="J116" s="295">
        <f t="shared" si="19"/>
        <v>48761886.848628752</v>
      </c>
      <c r="K116" s="302"/>
      <c r="L116" s="302"/>
      <c r="M116" s="302"/>
    </row>
    <row r="117" spans="2:13">
      <c r="B117" s="292"/>
      <c r="C117" s="292"/>
      <c r="D117" s="293">
        <f t="shared" si="21"/>
        <v>45170</v>
      </c>
      <c r="E117" s="291">
        <v>79</v>
      </c>
      <c r="F117" s="294">
        <f t="shared" si="22"/>
        <v>48761886.848628752</v>
      </c>
      <c r="G117" s="294">
        <f t="shared" si="20"/>
        <v>255808.74336133149</v>
      </c>
      <c r="H117" s="294">
        <f t="shared" si="23"/>
        <v>172698.34925556017</v>
      </c>
      <c r="I117" s="294">
        <f t="shared" si="18"/>
        <v>83110.394105771324</v>
      </c>
      <c r="J117" s="295">
        <f t="shared" si="19"/>
        <v>48678776.454522982</v>
      </c>
      <c r="K117" s="302"/>
      <c r="L117" s="302"/>
      <c r="M117" s="302"/>
    </row>
    <row r="118" spans="2:13">
      <c r="B118" s="292"/>
      <c r="C118" s="292"/>
      <c r="D118" s="293">
        <f t="shared" si="21"/>
        <v>45200</v>
      </c>
      <c r="E118" s="291">
        <v>80</v>
      </c>
      <c r="F118" s="294">
        <f t="shared" si="22"/>
        <v>48678776.454522982</v>
      </c>
      <c r="G118" s="294">
        <f t="shared" si="20"/>
        <v>255808.74336133149</v>
      </c>
      <c r="H118" s="294">
        <f t="shared" si="23"/>
        <v>172403.99994310224</v>
      </c>
      <c r="I118" s="294">
        <f t="shared" si="18"/>
        <v>83404.743418229249</v>
      </c>
      <c r="J118" s="295">
        <f t="shared" si="19"/>
        <v>48595371.711104751</v>
      </c>
      <c r="K118" s="302"/>
      <c r="L118" s="302"/>
      <c r="M118" s="302"/>
    </row>
    <row r="119" spans="2:13">
      <c r="B119" s="292"/>
      <c r="C119" s="292"/>
      <c r="D119" s="293">
        <f t="shared" si="21"/>
        <v>45231</v>
      </c>
      <c r="E119" s="291">
        <v>81</v>
      </c>
      <c r="F119" s="294">
        <f t="shared" si="22"/>
        <v>48595371.711104751</v>
      </c>
      <c r="G119" s="294">
        <f t="shared" si="20"/>
        <v>255808.74336133149</v>
      </c>
      <c r="H119" s="294">
        <f t="shared" si="23"/>
        <v>172108.60814349601</v>
      </c>
      <c r="I119" s="294">
        <f t="shared" si="18"/>
        <v>83700.135217835486</v>
      </c>
      <c r="J119" s="295">
        <f t="shared" si="19"/>
        <v>48511671.575886913</v>
      </c>
      <c r="K119" s="302"/>
      <c r="L119" s="302"/>
      <c r="M119" s="302"/>
    </row>
    <row r="120" spans="2:13">
      <c r="B120" s="292"/>
      <c r="C120" s="292"/>
      <c r="D120" s="293">
        <f t="shared" si="21"/>
        <v>45261</v>
      </c>
      <c r="E120" s="291">
        <v>82</v>
      </c>
      <c r="F120" s="294">
        <f t="shared" si="22"/>
        <v>48511671.575886913</v>
      </c>
      <c r="G120" s="294">
        <f t="shared" si="20"/>
        <v>255808.74336133149</v>
      </c>
      <c r="H120" s="294">
        <f t="shared" si="23"/>
        <v>171812.17016459949</v>
      </c>
      <c r="I120" s="294">
        <f t="shared" si="18"/>
        <v>83996.573196732003</v>
      </c>
      <c r="J120" s="295">
        <f t="shared" si="19"/>
        <v>48427675.002690181</v>
      </c>
      <c r="K120" s="302"/>
      <c r="L120" s="302"/>
      <c r="M120" s="302"/>
    </row>
    <row r="121" spans="2:13">
      <c r="B121" s="292"/>
      <c r="C121" s="292"/>
      <c r="D121" s="293">
        <f t="shared" si="21"/>
        <v>45292</v>
      </c>
      <c r="E121" s="291">
        <v>83</v>
      </c>
      <c r="F121" s="294">
        <f t="shared" si="22"/>
        <v>48427675.002690181</v>
      </c>
      <c r="G121" s="294">
        <f t="shared" si="20"/>
        <v>255808.74336133149</v>
      </c>
      <c r="H121" s="294">
        <f t="shared" si="23"/>
        <v>171514.68230119441</v>
      </c>
      <c r="I121" s="294">
        <f t="shared" si="18"/>
        <v>84294.061060137086</v>
      </c>
      <c r="J121" s="295">
        <f t="shared" si="19"/>
        <v>48343380.941630043</v>
      </c>
      <c r="K121" s="302"/>
      <c r="L121" s="302"/>
      <c r="M121" s="302"/>
    </row>
    <row r="122" spans="2:13">
      <c r="B122" s="292"/>
      <c r="C122" s="292"/>
      <c r="D122" s="293">
        <f t="shared" si="21"/>
        <v>45323</v>
      </c>
      <c r="E122" s="291">
        <v>84</v>
      </c>
      <c r="F122" s="294">
        <f t="shared" si="22"/>
        <v>48343380.941630043</v>
      </c>
      <c r="G122" s="294">
        <f t="shared" si="20"/>
        <v>255808.74336133149</v>
      </c>
      <c r="H122" s="294">
        <f t="shared" si="23"/>
        <v>171216.14083493975</v>
      </c>
      <c r="I122" s="294">
        <f t="shared" si="18"/>
        <v>84592.60252639174</v>
      </c>
      <c r="J122" s="301">
        <f t="shared" si="19"/>
        <v>48258788.339103654</v>
      </c>
      <c r="K122" s="302">
        <f>SUM(H111:H122)</f>
        <v>2074067.4643934858</v>
      </c>
      <c r="L122" s="302">
        <f>SUM(I111:I122)</f>
        <v>995637.45594249212</v>
      </c>
      <c r="M122" s="302">
        <f>SUM(K122:L122)</f>
        <v>3069704.9203359778</v>
      </c>
    </row>
    <row r="123" spans="2:13">
      <c r="B123" s="303">
        <v>8</v>
      </c>
      <c r="C123" s="303">
        <f>C111+1</f>
        <v>2024</v>
      </c>
      <c r="D123" s="293">
        <f t="shared" si="21"/>
        <v>45352</v>
      </c>
      <c r="E123" s="304">
        <v>85</v>
      </c>
      <c r="F123" s="305">
        <f t="shared" si="22"/>
        <v>48258788.339103654</v>
      </c>
      <c r="G123" s="305">
        <f t="shared" si="20"/>
        <v>255808.74336133149</v>
      </c>
      <c r="H123" s="305">
        <f t="shared" si="23"/>
        <v>170916.54203432545</v>
      </c>
      <c r="I123" s="305">
        <f t="shared" si="18"/>
        <v>84892.201327006042</v>
      </c>
      <c r="J123" s="306">
        <f t="shared" si="19"/>
        <v>48173896.13777665</v>
      </c>
      <c r="K123" s="307"/>
      <c r="L123" s="307"/>
      <c r="M123" s="307"/>
    </row>
    <row r="124" spans="2:13">
      <c r="B124" s="292"/>
      <c r="C124" s="292"/>
      <c r="D124" s="293">
        <f t="shared" si="21"/>
        <v>45383</v>
      </c>
      <c r="E124" s="308">
        <v>86</v>
      </c>
      <c r="F124" s="309">
        <f t="shared" si="22"/>
        <v>48173896.13777665</v>
      </c>
      <c r="G124" s="309">
        <f t="shared" si="20"/>
        <v>255808.74336133149</v>
      </c>
      <c r="H124" s="309">
        <f t="shared" si="23"/>
        <v>170615.88215462564</v>
      </c>
      <c r="I124" s="309">
        <f t="shared" si="18"/>
        <v>85192.861206705857</v>
      </c>
      <c r="J124" s="310">
        <f t="shared" si="19"/>
        <v>48088703.276569948</v>
      </c>
      <c r="K124" s="311"/>
      <c r="L124" s="311"/>
      <c r="M124" s="311"/>
    </row>
    <row r="125" spans="2:13">
      <c r="B125" s="292"/>
      <c r="C125" s="292"/>
      <c r="D125" s="293">
        <f t="shared" si="21"/>
        <v>45413</v>
      </c>
      <c r="E125" s="308">
        <v>87</v>
      </c>
      <c r="F125" s="309">
        <f t="shared" si="22"/>
        <v>48088703.276569948</v>
      </c>
      <c r="G125" s="309">
        <f t="shared" si="20"/>
        <v>255808.74336133149</v>
      </c>
      <c r="H125" s="309">
        <f t="shared" si="23"/>
        <v>170314.15743785191</v>
      </c>
      <c r="I125" s="309">
        <f t="shared" si="18"/>
        <v>85494.585923479579</v>
      </c>
      <c r="J125" s="310">
        <f t="shared" si="19"/>
        <v>48003208.69064647</v>
      </c>
      <c r="K125" s="312"/>
      <c r="L125" s="312"/>
      <c r="M125" s="312"/>
    </row>
    <row r="126" spans="2:13">
      <c r="B126" s="292"/>
      <c r="C126" s="292"/>
      <c r="D126" s="293">
        <f t="shared" si="21"/>
        <v>45444</v>
      </c>
      <c r="E126" s="308">
        <v>88</v>
      </c>
      <c r="F126" s="309">
        <f t="shared" si="22"/>
        <v>48003208.69064647</v>
      </c>
      <c r="G126" s="309">
        <f t="shared" si="20"/>
        <v>255808.74336133149</v>
      </c>
      <c r="H126" s="309">
        <f t="shared" si="23"/>
        <v>170011.36411270627</v>
      </c>
      <c r="I126" s="309">
        <f t="shared" si="18"/>
        <v>85797.37924862522</v>
      </c>
      <c r="J126" s="310">
        <f t="shared" si="19"/>
        <v>47917411.311397843</v>
      </c>
      <c r="K126" s="312"/>
      <c r="L126" s="312"/>
      <c r="M126" s="312"/>
    </row>
    <row r="127" spans="2:13">
      <c r="B127" s="292"/>
      <c r="C127" s="292"/>
      <c r="D127" s="293">
        <f t="shared" si="21"/>
        <v>45474</v>
      </c>
      <c r="E127" s="308">
        <v>89</v>
      </c>
      <c r="F127" s="309">
        <f t="shared" si="22"/>
        <v>47917411.311397843</v>
      </c>
      <c r="G127" s="309">
        <f t="shared" si="20"/>
        <v>255808.74336133149</v>
      </c>
      <c r="H127" s="309">
        <f t="shared" si="23"/>
        <v>169707.49839453405</v>
      </c>
      <c r="I127" s="309">
        <f t="shared" si="18"/>
        <v>86101.244966797443</v>
      </c>
      <c r="J127" s="310">
        <f t="shared" si="19"/>
        <v>47831310.066431046</v>
      </c>
      <c r="K127" s="312"/>
      <c r="L127" s="312"/>
      <c r="M127" s="312"/>
    </row>
    <row r="128" spans="2:13">
      <c r="B128" s="292"/>
      <c r="C128" s="292"/>
      <c r="D128" s="293">
        <f t="shared" si="21"/>
        <v>45505</v>
      </c>
      <c r="E128" s="308">
        <v>90</v>
      </c>
      <c r="F128" s="309">
        <f t="shared" si="22"/>
        <v>47831310.066431046</v>
      </c>
      <c r="G128" s="309">
        <f t="shared" si="20"/>
        <v>255808.74336133149</v>
      </c>
      <c r="H128" s="309">
        <f t="shared" si="23"/>
        <v>169402.55648527664</v>
      </c>
      <c r="I128" s="309">
        <f t="shared" si="18"/>
        <v>86406.186876054853</v>
      </c>
      <c r="J128" s="310">
        <f t="shared" si="19"/>
        <v>47744903.879554987</v>
      </c>
      <c r="K128" s="312"/>
      <c r="L128" s="312"/>
      <c r="M128" s="312"/>
    </row>
    <row r="129" spans="2:13">
      <c r="B129" s="292"/>
      <c r="C129" s="292"/>
      <c r="D129" s="293">
        <f t="shared" si="21"/>
        <v>45536</v>
      </c>
      <c r="E129" s="308">
        <v>91</v>
      </c>
      <c r="F129" s="309">
        <f t="shared" si="22"/>
        <v>47744903.879554987</v>
      </c>
      <c r="G129" s="309">
        <f t="shared" si="20"/>
        <v>255808.74336133149</v>
      </c>
      <c r="H129" s="309">
        <f t="shared" si="23"/>
        <v>169096.53457342394</v>
      </c>
      <c r="I129" s="309">
        <f t="shared" si="18"/>
        <v>86712.208787907555</v>
      </c>
      <c r="J129" s="310">
        <f t="shared" si="19"/>
        <v>47658191.670767076</v>
      </c>
      <c r="K129" s="312"/>
      <c r="L129" s="312"/>
      <c r="M129" s="312"/>
    </row>
    <row r="130" spans="2:13">
      <c r="B130" s="292"/>
      <c r="C130" s="292"/>
      <c r="D130" s="293">
        <f t="shared" si="21"/>
        <v>45566</v>
      </c>
      <c r="E130" s="308">
        <v>92</v>
      </c>
      <c r="F130" s="309">
        <f t="shared" si="22"/>
        <v>47658191.670767076</v>
      </c>
      <c r="G130" s="309">
        <f t="shared" si="20"/>
        <v>255808.74336133149</v>
      </c>
      <c r="H130" s="309">
        <f t="shared" si="23"/>
        <v>168789.42883396675</v>
      </c>
      <c r="I130" s="309">
        <f t="shared" si="18"/>
        <v>87019.314527364739</v>
      </c>
      <c r="J130" s="310">
        <f t="shared" si="19"/>
        <v>47571172.356239714</v>
      </c>
      <c r="K130" s="312"/>
      <c r="L130" s="312"/>
      <c r="M130" s="312"/>
    </row>
    <row r="131" spans="2:13">
      <c r="B131" s="292"/>
      <c r="C131" s="292"/>
      <c r="D131" s="293">
        <f t="shared" si="21"/>
        <v>45597</v>
      </c>
      <c r="E131" s="308">
        <v>93</v>
      </c>
      <c r="F131" s="309">
        <f t="shared" si="22"/>
        <v>47571172.356239714</v>
      </c>
      <c r="G131" s="309">
        <f t="shared" si="20"/>
        <v>255808.74336133149</v>
      </c>
      <c r="H131" s="309">
        <f t="shared" si="23"/>
        <v>168481.235428349</v>
      </c>
      <c r="I131" s="309">
        <f t="shared" si="18"/>
        <v>87327.507932982495</v>
      </c>
      <c r="J131" s="310">
        <f t="shared" si="19"/>
        <v>47483844.84830673</v>
      </c>
      <c r="K131" s="312"/>
      <c r="L131" s="312"/>
      <c r="M131" s="312"/>
    </row>
    <row r="132" spans="2:13">
      <c r="B132" s="292"/>
      <c r="C132" s="292"/>
      <c r="D132" s="293">
        <f t="shared" si="21"/>
        <v>45627</v>
      </c>
      <c r="E132" s="308">
        <v>94</v>
      </c>
      <c r="F132" s="309">
        <f t="shared" si="22"/>
        <v>47483844.84830673</v>
      </c>
      <c r="G132" s="309">
        <f t="shared" si="20"/>
        <v>255808.74336133149</v>
      </c>
      <c r="H132" s="309">
        <f t="shared" si="23"/>
        <v>168171.95050441968</v>
      </c>
      <c r="I132" s="309">
        <f t="shared" si="18"/>
        <v>87636.792856911808</v>
      </c>
      <c r="J132" s="310">
        <f t="shared" si="19"/>
        <v>47396208.055449821</v>
      </c>
      <c r="K132" s="312"/>
      <c r="L132" s="312"/>
      <c r="M132" s="312"/>
    </row>
    <row r="133" spans="2:13">
      <c r="B133" s="292"/>
      <c r="C133" s="292"/>
      <c r="D133" s="293">
        <f t="shared" si="21"/>
        <v>45658</v>
      </c>
      <c r="E133" s="308">
        <v>95</v>
      </c>
      <c r="F133" s="309">
        <f t="shared" si="22"/>
        <v>47396208.055449821</v>
      </c>
      <c r="G133" s="309">
        <f t="shared" si="20"/>
        <v>255808.74336133149</v>
      </c>
      <c r="H133" s="309">
        <f t="shared" si="23"/>
        <v>167861.5701963848</v>
      </c>
      <c r="I133" s="309">
        <f t="shared" si="18"/>
        <v>87947.173164946696</v>
      </c>
      <c r="J133" s="310">
        <f t="shared" si="19"/>
        <v>47308260.882284872</v>
      </c>
      <c r="K133" s="312"/>
      <c r="L133" s="312"/>
      <c r="M133" s="312"/>
    </row>
    <row r="134" spans="2:13">
      <c r="B134" s="292"/>
      <c r="C134" s="292"/>
      <c r="D134" s="293">
        <f t="shared" si="21"/>
        <v>45689</v>
      </c>
      <c r="E134" s="314">
        <v>96</v>
      </c>
      <c r="F134" s="315">
        <f t="shared" si="22"/>
        <v>47308260.882284872</v>
      </c>
      <c r="G134" s="315">
        <f t="shared" si="20"/>
        <v>255808.74336133149</v>
      </c>
      <c r="H134" s="315">
        <f t="shared" si="23"/>
        <v>167550.09062475894</v>
      </c>
      <c r="I134" s="315">
        <f t="shared" si="18"/>
        <v>88258.652736572549</v>
      </c>
      <c r="J134" s="316">
        <f t="shared" si="19"/>
        <v>47220002.229548298</v>
      </c>
      <c r="K134" s="317">
        <f>SUM(H123:H134)</f>
        <v>2030918.810780623</v>
      </c>
      <c r="L134" s="317">
        <f>SUM(I123:I134)</f>
        <v>1038786.1095553548</v>
      </c>
      <c r="M134" s="317">
        <f>SUM(K134:L134)</f>
        <v>3069704.9203359778</v>
      </c>
    </row>
    <row r="135" spans="2:13">
      <c r="B135" s="303">
        <v>9</v>
      </c>
      <c r="C135" s="303">
        <f>C123+1</f>
        <v>2025</v>
      </c>
      <c r="D135" s="293">
        <f t="shared" si="21"/>
        <v>45717</v>
      </c>
      <c r="E135" s="321">
        <v>97</v>
      </c>
      <c r="F135" s="322">
        <f t="shared" si="22"/>
        <v>47220002.229548298</v>
      </c>
      <c r="G135" s="322">
        <f t="shared" si="20"/>
        <v>255808.74336133149</v>
      </c>
      <c r="H135" s="322">
        <f t="shared" si="23"/>
        <v>167237.50789631691</v>
      </c>
      <c r="I135" s="322">
        <f t="shared" si="18"/>
        <v>88571.235465014586</v>
      </c>
      <c r="J135" s="323">
        <f t="shared" si="19"/>
        <v>47131430.994083285</v>
      </c>
      <c r="K135" s="324"/>
      <c r="L135" s="324"/>
      <c r="M135" s="324"/>
    </row>
    <row r="136" spans="2:13">
      <c r="B136" s="292"/>
      <c r="C136" s="292"/>
      <c r="D136" s="293">
        <f t="shared" si="21"/>
        <v>45748</v>
      </c>
      <c r="E136" s="291">
        <v>98</v>
      </c>
      <c r="F136" s="294">
        <f t="shared" si="22"/>
        <v>47131430.994083285</v>
      </c>
      <c r="G136" s="294">
        <f t="shared" si="20"/>
        <v>255808.74336133149</v>
      </c>
      <c r="H136" s="294">
        <f t="shared" si="23"/>
        <v>166923.81810404497</v>
      </c>
      <c r="I136" s="294">
        <f t="shared" si="18"/>
        <v>88884.925257286523</v>
      </c>
      <c r="J136" s="295">
        <f t="shared" si="19"/>
        <v>47042546.068825997</v>
      </c>
      <c r="K136" s="302"/>
      <c r="L136" s="302"/>
      <c r="M136" s="302"/>
    </row>
    <row r="137" spans="2:13">
      <c r="B137" s="292"/>
      <c r="C137" s="292"/>
      <c r="D137" s="293">
        <f t="shared" si="21"/>
        <v>45778</v>
      </c>
      <c r="E137" s="291">
        <v>99</v>
      </c>
      <c r="F137" s="294">
        <f t="shared" si="22"/>
        <v>47042546.068825997</v>
      </c>
      <c r="G137" s="294">
        <f t="shared" si="20"/>
        <v>255808.74336133149</v>
      </c>
      <c r="H137" s="294">
        <f t="shared" si="23"/>
        <v>166609.01732709209</v>
      </c>
      <c r="I137" s="294">
        <f t="shared" si="18"/>
        <v>89199.7260342394</v>
      </c>
      <c r="J137" s="295">
        <f t="shared" si="19"/>
        <v>46953346.342791758</v>
      </c>
      <c r="K137" s="302"/>
      <c r="L137" s="302"/>
      <c r="M137" s="302"/>
    </row>
    <row r="138" spans="2:13">
      <c r="B138" s="292"/>
      <c r="C138" s="292"/>
      <c r="D138" s="293">
        <f t="shared" si="21"/>
        <v>45809</v>
      </c>
      <c r="E138" s="291">
        <v>100</v>
      </c>
      <c r="F138" s="294">
        <f t="shared" si="22"/>
        <v>46953346.342791758</v>
      </c>
      <c r="G138" s="294">
        <f t="shared" si="20"/>
        <v>255808.74336133149</v>
      </c>
      <c r="H138" s="294">
        <f t="shared" si="23"/>
        <v>166293.10163072083</v>
      </c>
      <c r="I138" s="294">
        <f t="shared" si="18"/>
        <v>89515.64173061066</v>
      </c>
      <c r="J138" s="295">
        <f t="shared" si="19"/>
        <v>46863830.701061144</v>
      </c>
      <c r="K138" s="302"/>
      <c r="L138" s="302"/>
      <c r="M138" s="302"/>
    </row>
    <row r="139" spans="2:13">
      <c r="B139" s="292"/>
      <c r="C139" s="292"/>
      <c r="D139" s="293">
        <f t="shared" si="21"/>
        <v>45839</v>
      </c>
      <c r="E139" s="291">
        <v>101</v>
      </c>
      <c r="F139" s="294">
        <f t="shared" si="22"/>
        <v>46863830.701061144</v>
      </c>
      <c r="G139" s="294">
        <f t="shared" si="20"/>
        <v>255808.74336133149</v>
      </c>
      <c r="H139" s="294">
        <f t="shared" si="23"/>
        <v>165976.06706625823</v>
      </c>
      <c r="I139" s="294">
        <f t="shared" si="18"/>
        <v>89832.676295073266</v>
      </c>
      <c r="J139" s="295">
        <f t="shared" si="19"/>
        <v>46773998.024766073</v>
      </c>
      <c r="K139" s="302"/>
      <c r="L139" s="302"/>
      <c r="M139" s="302"/>
    </row>
    <row r="140" spans="2:13">
      <c r="B140" s="292"/>
      <c r="C140" s="292"/>
      <c r="D140" s="293">
        <f t="shared" si="21"/>
        <v>45870</v>
      </c>
      <c r="E140" s="291">
        <v>102</v>
      </c>
      <c r="F140" s="294">
        <f t="shared" si="22"/>
        <v>46773998.024766073</v>
      </c>
      <c r="G140" s="294">
        <f t="shared" si="20"/>
        <v>255808.74336133149</v>
      </c>
      <c r="H140" s="294">
        <f t="shared" si="23"/>
        <v>165657.90967104651</v>
      </c>
      <c r="I140" s="294">
        <f t="shared" si="18"/>
        <v>90150.833690284984</v>
      </c>
      <c r="J140" s="295">
        <f t="shared" si="19"/>
        <v>46683847.191075787</v>
      </c>
      <c r="K140" s="302"/>
      <c r="L140" s="302"/>
      <c r="M140" s="302"/>
    </row>
    <row r="141" spans="2:13">
      <c r="B141" s="292"/>
      <c r="C141" s="292"/>
      <c r="D141" s="293">
        <f t="shared" si="21"/>
        <v>45901</v>
      </c>
      <c r="E141" s="291">
        <v>103</v>
      </c>
      <c r="F141" s="294">
        <f t="shared" si="22"/>
        <v>46683847.191075787</v>
      </c>
      <c r="G141" s="294">
        <f t="shared" si="20"/>
        <v>255808.74336133149</v>
      </c>
      <c r="H141" s="294">
        <f t="shared" si="23"/>
        <v>165338.62546839344</v>
      </c>
      <c r="I141" s="294">
        <f t="shared" si="18"/>
        <v>90470.117892938055</v>
      </c>
      <c r="J141" s="295">
        <f t="shared" si="19"/>
        <v>46593377.073182851</v>
      </c>
      <c r="K141" s="302"/>
      <c r="L141" s="302"/>
      <c r="M141" s="302"/>
    </row>
    <row r="142" spans="2:13">
      <c r="B142" s="292"/>
      <c r="C142" s="292"/>
      <c r="D142" s="293">
        <f t="shared" si="21"/>
        <v>45931</v>
      </c>
      <c r="E142" s="291">
        <v>104</v>
      </c>
      <c r="F142" s="294">
        <f t="shared" si="22"/>
        <v>46593377.073182851</v>
      </c>
      <c r="G142" s="294">
        <f t="shared" si="20"/>
        <v>255808.74336133149</v>
      </c>
      <c r="H142" s="294">
        <f t="shared" si="23"/>
        <v>165018.21046752261</v>
      </c>
      <c r="I142" s="294">
        <f t="shared" si="18"/>
        <v>90790.532893808879</v>
      </c>
      <c r="J142" s="295">
        <f t="shared" si="19"/>
        <v>46502586.540289044</v>
      </c>
      <c r="K142" s="302"/>
      <c r="L142" s="302"/>
      <c r="M142" s="302"/>
    </row>
    <row r="143" spans="2:13">
      <c r="B143" s="292"/>
      <c r="C143" s="292"/>
      <c r="D143" s="293">
        <f t="shared" si="21"/>
        <v>45962</v>
      </c>
      <c r="E143" s="291">
        <v>105</v>
      </c>
      <c r="F143" s="294">
        <f t="shared" si="22"/>
        <v>46502586.540289044</v>
      </c>
      <c r="G143" s="294">
        <f t="shared" si="20"/>
        <v>255808.74336133149</v>
      </c>
      <c r="H143" s="294">
        <f t="shared" si="23"/>
        <v>164696.66066352371</v>
      </c>
      <c r="I143" s="294">
        <f t="shared" si="18"/>
        <v>91112.082697807782</v>
      </c>
      <c r="J143" s="295">
        <f t="shared" si="19"/>
        <v>46411474.457591236</v>
      </c>
      <c r="K143" s="302"/>
      <c r="L143" s="302"/>
      <c r="M143" s="302"/>
    </row>
    <row r="144" spans="2:13">
      <c r="B144" s="292"/>
      <c r="C144" s="292"/>
      <c r="D144" s="293">
        <f t="shared" si="21"/>
        <v>45992</v>
      </c>
      <c r="E144" s="291">
        <v>106</v>
      </c>
      <c r="F144" s="294">
        <f t="shared" si="22"/>
        <v>46411474.457591236</v>
      </c>
      <c r="G144" s="294">
        <f t="shared" si="20"/>
        <v>255808.74336133149</v>
      </c>
      <c r="H144" s="294">
        <f t="shared" si="23"/>
        <v>164373.9720373023</v>
      </c>
      <c r="I144" s="294">
        <f t="shared" si="18"/>
        <v>91434.771324029192</v>
      </c>
      <c r="J144" s="295">
        <f t="shared" si="19"/>
        <v>46320039.686267205</v>
      </c>
      <c r="K144" s="302"/>
      <c r="L144" s="302"/>
      <c r="M144" s="302"/>
    </row>
    <row r="145" spans="2:13">
      <c r="B145" s="292"/>
      <c r="C145" s="292"/>
      <c r="D145" s="293">
        <f t="shared" si="21"/>
        <v>46023</v>
      </c>
      <c r="E145" s="291">
        <v>107</v>
      </c>
      <c r="F145" s="294">
        <f t="shared" si="22"/>
        <v>46320039.686267205</v>
      </c>
      <c r="G145" s="294">
        <f t="shared" si="20"/>
        <v>255808.74336133149</v>
      </c>
      <c r="H145" s="294">
        <f t="shared" si="23"/>
        <v>164050.14055552968</v>
      </c>
      <c r="I145" s="294">
        <f t="shared" si="18"/>
        <v>91758.602805801813</v>
      </c>
      <c r="J145" s="295">
        <f t="shared" si="19"/>
        <v>46228281.083461404</v>
      </c>
      <c r="K145" s="302"/>
      <c r="L145" s="302"/>
      <c r="M145" s="302"/>
    </row>
    <row r="146" spans="2:13">
      <c r="B146" s="292"/>
      <c r="C146" s="292"/>
      <c r="D146" s="293">
        <f t="shared" si="21"/>
        <v>46054</v>
      </c>
      <c r="E146" s="291">
        <v>108</v>
      </c>
      <c r="F146" s="294">
        <f t="shared" si="22"/>
        <v>46228281.083461404</v>
      </c>
      <c r="G146" s="294">
        <f t="shared" si="20"/>
        <v>255808.74336133149</v>
      </c>
      <c r="H146" s="294">
        <f t="shared" si="23"/>
        <v>163725.16217059249</v>
      </c>
      <c r="I146" s="294">
        <f t="shared" si="18"/>
        <v>92083.581190739002</v>
      </c>
      <c r="J146" s="301">
        <f t="shared" si="19"/>
        <v>46136197.502270661</v>
      </c>
      <c r="K146" s="302">
        <f>SUM(H135:H146)</f>
        <v>1985900.1930583436</v>
      </c>
      <c r="L146" s="302">
        <f>SUM(I135:I146)</f>
        <v>1083804.7272776342</v>
      </c>
      <c r="M146" s="302">
        <f>SUM(K146:L146)</f>
        <v>3069704.9203359778</v>
      </c>
    </row>
    <row r="147" spans="2:13">
      <c r="B147" s="303">
        <v>10</v>
      </c>
      <c r="C147" s="303">
        <f>C135+1</f>
        <v>2026</v>
      </c>
      <c r="D147" s="293">
        <f t="shared" si="21"/>
        <v>46082</v>
      </c>
      <c r="E147" s="304">
        <v>109</v>
      </c>
      <c r="F147" s="305">
        <f t="shared" si="22"/>
        <v>46136197.502270661</v>
      </c>
      <c r="G147" s="305">
        <f t="shared" si="20"/>
        <v>255808.74336133149</v>
      </c>
      <c r="H147" s="305">
        <f t="shared" si="23"/>
        <v>163399.03282054194</v>
      </c>
      <c r="I147" s="305">
        <f t="shared" si="18"/>
        <v>92409.710540789558</v>
      </c>
      <c r="J147" s="306">
        <f t="shared" si="19"/>
        <v>46043787.791729875</v>
      </c>
      <c r="K147" s="307"/>
      <c r="L147" s="307"/>
      <c r="M147" s="307"/>
    </row>
    <row r="148" spans="2:13">
      <c r="B148" s="292"/>
      <c r="C148" s="292"/>
      <c r="D148" s="293">
        <f t="shared" si="21"/>
        <v>46113</v>
      </c>
      <c r="E148" s="308">
        <v>110</v>
      </c>
      <c r="F148" s="309">
        <f t="shared" si="22"/>
        <v>46043787.791729875</v>
      </c>
      <c r="G148" s="309">
        <f t="shared" si="20"/>
        <v>255808.74336133149</v>
      </c>
      <c r="H148" s="309">
        <f t="shared" si="23"/>
        <v>163071.74842904331</v>
      </c>
      <c r="I148" s="309">
        <f t="shared" si="18"/>
        <v>92736.994932288188</v>
      </c>
      <c r="J148" s="310">
        <f t="shared" si="19"/>
        <v>45951050.796797588</v>
      </c>
      <c r="K148" s="311"/>
      <c r="L148" s="311"/>
      <c r="M148" s="311"/>
    </row>
    <row r="149" spans="2:13">
      <c r="B149" s="292"/>
      <c r="C149" s="292"/>
      <c r="D149" s="293">
        <f t="shared" si="21"/>
        <v>46143</v>
      </c>
      <c r="E149" s="308">
        <v>111</v>
      </c>
      <c r="F149" s="309">
        <f t="shared" si="22"/>
        <v>45951050.796797588</v>
      </c>
      <c r="G149" s="309">
        <f t="shared" si="20"/>
        <v>255808.74336133149</v>
      </c>
      <c r="H149" s="309">
        <f t="shared" si="23"/>
        <v>162743.3049053248</v>
      </c>
      <c r="I149" s="309">
        <f t="shared" si="18"/>
        <v>93065.438456006697</v>
      </c>
      <c r="J149" s="310">
        <f t="shared" si="19"/>
        <v>45857985.358341582</v>
      </c>
      <c r="K149" s="312"/>
      <c r="L149" s="312"/>
      <c r="M149" s="312"/>
    </row>
    <row r="150" spans="2:13">
      <c r="B150" s="292"/>
      <c r="C150" s="292"/>
      <c r="D150" s="293">
        <f t="shared" si="21"/>
        <v>46174</v>
      </c>
      <c r="E150" s="308">
        <v>112</v>
      </c>
      <c r="F150" s="309">
        <f t="shared" si="22"/>
        <v>45857985.358341582</v>
      </c>
      <c r="G150" s="309">
        <f t="shared" si="20"/>
        <v>255808.74336133149</v>
      </c>
      <c r="H150" s="309">
        <f t="shared" si="23"/>
        <v>162413.69814412645</v>
      </c>
      <c r="I150" s="309">
        <f t="shared" si="18"/>
        <v>93395.045217205043</v>
      </c>
      <c r="J150" s="310">
        <f t="shared" si="19"/>
        <v>45764590.313124374</v>
      </c>
      <c r="K150" s="312"/>
      <c r="L150" s="312"/>
      <c r="M150" s="312"/>
    </row>
    <row r="151" spans="2:13">
      <c r="B151" s="292"/>
      <c r="C151" s="292"/>
      <c r="D151" s="293">
        <f t="shared" si="21"/>
        <v>46204</v>
      </c>
      <c r="E151" s="308">
        <v>113</v>
      </c>
      <c r="F151" s="309">
        <f t="shared" si="22"/>
        <v>45764590.313124374</v>
      </c>
      <c r="G151" s="309">
        <f t="shared" si="20"/>
        <v>255808.74336133149</v>
      </c>
      <c r="H151" s="309">
        <f t="shared" si="23"/>
        <v>162082.92402564883</v>
      </c>
      <c r="I151" s="309">
        <f t="shared" si="18"/>
        <v>93725.819335682667</v>
      </c>
      <c r="J151" s="310">
        <f t="shared" si="19"/>
        <v>45670864.493788689</v>
      </c>
      <c r="K151" s="312"/>
      <c r="L151" s="312"/>
      <c r="M151" s="312"/>
    </row>
    <row r="152" spans="2:13">
      <c r="B152" s="292"/>
      <c r="C152" s="292"/>
      <c r="D152" s="293">
        <f t="shared" si="21"/>
        <v>46235</v>
      </c>
      <c r="E152" s="308">
        <v>114</v>
      </c>
      <c r="F152" s="309">
        <f t="shared" si="22"/>
        <v>45670864.493788689</v>
      </c>
      <c r="G152" s="309">
        <f t="shared" si="20"/>
        <v>255808.74336133149</v>
      </c>
      <c r="H152" s="309">
        <f t="shared" si="23"/>
        <v>161750.97841550162</v>
      </c>
      <c r="I152" s="309">
        <f t="shared" si="18"/>
        <v>94057.764945829869</v>
      </c>
      <c r="J152" s="310">
        <f t="shared" si="19"/>
        <v>45576806.728842862</v>
      </c>
      <c r="K152" s="312"/>
      <c r="L152" s="312"/>
      <c r="M152" s="312"/>
    </row>
    <row r="153" spans="2:13">
      <c r="B153" s="292"/>
      <c r="C153" s="292"/>
      <c r="D153" s="293">
        <f t="shared" si="21"/>
        <v>46266</v>
      </c>
      <c r="E153" s="308">
        <v>115</v>
      </c>
      <c r="F153" s="309">
        <f t="shared" si="22"/>
        <v>45576806.728842862</v>
      </c>
      <c r="G153" s="309">
        <f t="shared" si="20"/>
        <v>255808.74336133149</v>
      </c>
      <c r="H153" s="309">
        <f t="shared" si="23"/>
        <v>161417.85716465182</v>
      </c>
      <c r="I153" s="309">
        <f t="shared" si="18"/>
        <v>94390.886196679669</v>
      </c>
      <c r="J153" s="310">
        <f t="shared" si="19"/>
        <v>45482415.842646182</v>
      </c>
      <c r="K153" s="312"/>
      <c r="L153" s="312"/>
      <c r="M153" s="312"/>
    </row>
    <row r="154" spans="2:13">
      <c r="B154" s="292"/>
      <c r="C154" s="292"/>
      <c r="D154" s="293">
        <f t="shared" si="21"/>
        <v>46296</v>
      </c>
      <c r="E154" s="308">
        <v>116</v>
      </c>
      <c r="F154" s="309">
        <f t="shared" si="22"/>
        <v>45482415.842646182</v>
      </c>
      <c r="G154" s="309">
        <f t="shared" si="20"/>
        <v>255808.74336133149</v>
      </c>
      <c r="H154" s="309">
        <f t="shared" si="23"/>
        <v>161083.55610937192</v>
      </c>
      <c r="I154" s="309">
        <f t="shared" si="18"/>
        <v>94725.187251959578</v>
      </c>
      <c r="J154" s="310">
        <f t="shared" si="19"/>
        <v>45387690.655394219</v>
      </c>
      <c r="K154" s="312"/>
      <c r="L154" s="312"/>
      <c r="M154" s="312"/>
    </row>
    <row r="155" spans="2:13">
      <c r="B155" s="292"/>
      <c r="C155" s="292"/>
      <c r="D155" s="293">
        <f t="shared" si="21"/>
        <v>46327</v>
      </c>
      <c r="E155" s="308">
        <v>117</v>
      </c>
      <c r="F155" s="309">
        <f t="shared" si="22"/>
        <v>45387690.655394219</v>
      </c>
      <c r="G155" s="309">
        <f t="shared" si="20"/>
        <v>255808.74336133149</v>
      </c>
      <c r="H155" s="309">
        <f t="shared" si="23"/>
        <v>160748.07107118788</v>
      </c>
      <c r="I155" s="309">
        <f t="shared" si="18"/>
        <v>95060.672290143615</v>
      </c>
      <c r="J155" s="310">
        <f t="shared" si="19"/>
        <v>45292629.983104073</v>
      </c>
      <c r="K155" s="312"/>
      <c r="L155" s="312"/>
      <c r="M155" s="312"/>
    </row>
    <row r="156" spans="2:13">
      <c r="B156" s="292"/>
      <c r="C156" s="292"/>
      <c r="D156" s="293">
        <f t="shared" si="21"/>
        <v>46357</v>
      </c>
      <c r="E156" s="308">
        <v>118</v>
      </c>
      <c r="F156" s="309">
        <f t="shared" si="22"/>
        <v>45292629.983104073</v>
      </c>
      <c r="G156" s="309">
        <f t="shared" si="20"/>
        <v>255808.74336133149</v>
      </c>
      <c r="H156" s="309">
        <f t="shared" si="23"/>
        <v>160411.39785682692</v>
      </c>
      <c r="I156" s="309">
        <f t="shared" si="18"/>
        <v>95397.34550450457</v>
      </c>
      <c r="J156" s="310">
        <f t="shared" si="19"/>
        <v>45197232.637599565</v>
      </c>
      <c r="K156" s="312"/>
      <c r="L156" s="312"/>
      <c r="M156" s="312"/>
    </row>
    <row r="157" spans="2:13">
      <c r="B157" s="292"/>
      <c r="C157" s="292"/>
      <c r="D157" s="293">
        <f t="shared" si="21"/>
        <v>46388</v>
      </c>
      <c r="E157" s="308">
        <v>119</v>
      </c>
      <c r="F157" s="309">
        <f t="shared" si="22"/>
        <v>45197232.637599565</v>
      </c>
      <c r="G157" s="309">
        <f t="shared" si="20"/>
        <v>255808.74336133149</v>
      </c>
      <c r="H157" s="309">
        <f t="shared" si="23"/>
        <v>160073.53225816513</v>
      </c>
      <c r="I157" s="309">
        <f t="shared" si="18"/>
        <v>95735.211103166366</v>
      </c>
      <c r="J157" s="310">
        <f t="shared" si="19"/>
        <v>45101497.426496401</v>
      </c>
      <c r="K157" s="312"/>
      <c r="L157" s="312"/>
      <c r="M157" s="312"/>
    </row>
    <row r="158" spans="2:13">
      <c r="B158" s="292"/>
      <c r="C158" s="292"/>
      <c r="D158" s="293">
        <f t="shared" si="21"/>
        <v>46419</v>
      </c>
      <c r="E158" s="314">
        <v>120</v>
      </c>
      <c r="F158" s="315">
        <f t="shared" si="22"/>
        <v>45101497.426496401</v>
      </c>
      <c r="G158" s="315">
        <f t="shared" si="20"/>
        <v>255808.74336133149</v>
      </c>
      <c r="H158" s="315">
        <f t="shared" si="23"/>
        <v>159734.47005217476</v>
      </c>
      <c r="I158" s="315">
        <f t="shared" si="18"/>
        <v>96074.273309156735</v>
      </c>
      <c r="J158" s="316">
        <f t="shared" si="19"/>
        <v>45005423.153187245</v>
      </c>
      <c r="K158" s="317">
        <f>SUM(H147:H158)</f>
        <v>1938930.5712525654</v>
      </c>
      <c r="L158" s="317">
        <f>SUM(I147:I158)</f>
        <v>1130774.3490834124</v>
      </c>
      <c r="M158" s="317">
        <f>SUM(K158:L158)</f>
        <v>3069704.9203359778</v>
      </c>
    </row>
    <row r="159" spans="2:13">
      <c r="B159" s="303">
        <v>11</v>
      </c>
      <c r="C159" s="303">
        <f>C147+1</f>
        <v>2027</v>
      </c>
      <c r="D159" s="293">
        <f t="shared" si="21"/>
        <v>46447</v>
      </c>
      <c r="E159" s="321">
        <v>121</v>
      </c>
      <c r="F159" s="322">
        <f t="shared" si="22"/>
        <v>45005423.153187245</v>
      </c>
      <c r="G159" s="322">
        <f t="shared" si="20"/>
        <v>255808.74336133149</v>
      </c>
      <c r="H159" s="322">
        <f t="shared" si="23"/>
        <v>159394.20700087151</v>
      </c>
      <c r="I159" s="322">
        <f t="shared" si="18"/>
        <v>96414.536360459984</v>
      </c>
      <c r="J159" s="319">
        <f t="shared" si="19"/>
        <v>44909008.616826788</v>
      </c>
      <c r="K159" s="324"/>
      <c r="L159" s="324"/>
      <c r="M159" s="324"/>
    </row>
    <row r="160" spans="2:13">
      <c r="B160" s="292"/>
      <c r="C160" s="292"/>
      <c r="D160" s="293">
        <f t="shared" si="21"/>
        <v>46478</v>
      </c>
      <c r="E160" s="291">
        <v>122</v>
      </c>
      <c r="F160" s="294">
        <f t="shared" si="22"/>
        <v>44909008.616826788</v>
      </c>
      <c r="G160" s="294">
        <f t="shared" si="20"/>
        <v>255808.74336133149</v>
      </c>
      <c r="H160" s="294">
        <f t="shared" si="23"/>
        <v>159052.73885126156</v>
      </c>
      <c r="I160" s="294">
        <f t="shared" si="18"/>
        <v>96756.004510069935</v>
      </c>
      <c r="J160" s="295">
        <f t="shared" si="19"/>
        <v>44812252.61231672</v>
      </c>
      <c r="K160" s="302"/>
      <c r="L160" s="302"/>
      <c r="M160" s="302"/>
    </row>
    <row r="161" spans="2:13">
      <c r="B161" s="292"/>
      <c r="C161" s="292"/>
      <c r="D161" s="293">
        <f t="shared" si="21"/>
        <v>46508</v>
      </c>
      <c r="E161" s="291">
        <v>123</v>
      </c>
      <c r="F161" s="294">
        <f t="shared" si="22"/>
        <v>44812252.61231672</v>
      </c>
      <c r="G161" s="294">
        <f t="shared" si="20"/>
        <v>255808.74336133149</v>
      </c>
      <c r="H161" s="294">
        <f t="shared" si="23"/>
        <v>158710.0613352884</v>
      </c>
      <c r="I161" s="294">
        <f t="shared" si="18"/>
        <v>97098.682026043098</v>
      </c>
      <c r="J161" s="295">
        <f t="shared" si="19"/>
        <v>44715153.930290677</v>
      </c>
      <c r="K161" s="302"/>
      <c r="L161" s="302"/>
      <c r="M161" s="302"/>
    </row>
    <row r="162" spans="2:13">
      <c r="B162" s="292"/>
      <c r="C162" s="292"/>
      <c r="D162" s="293">
        <f t="shared" si="21"/>
        <v>46539</v>
      </c>
      <c r="E162" s="291">
        <v>124</v>
      </c>
      <c r="F162" s="294">
        <f t="shared" si="22"/>
        <v>44715153.930290677</v>
      </c>
      <c r="G162" s="294">
        <f t="shared" si="20"/>
        <v>255808.74336133149</v>
      </c>
      <c r="H162" s="294">
        <f t="shared" si="23"/>
        <v>158366.17016977948</v>
      </c>
      <c r="I162" s="294">
        <f t="shared" si="18"/>
        <v>97442.573191552015</v>
      </c>
      <c r="J162" s="295">
        <f t="shared" si="19"/>
        <v>44617711.357099123</v>
      </c>
      <c r="K162" s="302"/>
      <c r="L162" s="302"/>
      <c r="M162" s="302"/>
    </row>
    <row r="163" spans="2:13">
      <c r="B163" s="292"/>
      <c r="C163" s="292"/>
      <c r="D163" s="293">
        <f t="shared" si="21"/>
        <v>46569</v>
      </c>
      <c r="E163" s="291">
        <v>125</v>
      </c>
      <c r="F163" s="294">
        <f t="shared" si="22"/>
        <v>44617711.357099123</v>
      </c>
      <c r="G163" s="294">
        <f t="shared" si="20"/>
        <v>255808.74336133149</v>
      </c>
      <c r="H163" s="294">
        <f t="shared" si="23"/>
        <v>158021.06105639273</v>
      </c>
      <c r="I163" s="294">
        <f t="shared" si="18"/>
        <v>97787.68230493876</v>
      </c>
      <c r="J163" s="295">
        <f t="shared" si="19"/>
        <v>44519923.674794182</v>
      </c>
      <c r="K163" s="302"/>
      <c r="L163" s="302"/>
      <c r="M163" s="302"/>
    </row>
    <row r="164" spans="2:13">
      <c r="B164" s="292"/>
      <c r="C164" s="292"/>
      <c r="D164" s="293">
        <f t="shared" si="21"/>
        <v>46600</v>
      </c>
      <c r="E164" s="291">
        <v>126</v>
      </c>
      <c r="F164" s="294">
        <f t="shared" si="22"/>
        <v>44519923.674794182</v>
      </c>
      <c r="G164" s="294">
        <f t="shared" si="20"/>
        <v>255808.74336133149</v>
      </c>
      <c r="H164" s="294">
        <f t="shared" si="23"/>
        <v>157674.72968156275</v>
      </c>
      <c r="I164" s="294">
        <f t="shared" si="18"/>
        <v>98134.013679768745</v>
      </c>
      <c r="J164" s="295">
        <f t="shared" si="19"/>
        <v>44421789.661114417</v>
      </c>
      <c r="K164" s="302"/>
      <c r="L164" s="302"/>
      <c r="M164" s="302"/>
    </row>
    <row r="165" spans="2:13">
      <c r="B165" s="292"/>
      <c r="C165" s="292"/>
      <c r="D165" s="293">
        <f t="shared" si="21"/>
        <v>46631</v>
      </c>
      <c r="E165" s="291">
        <v>127</v>
      </c>
      <c r="F165" s="294">
        <f t="shared" si="22"/>
        <v>44421789.661114417</v>
      </c>
      <c r="G165" s="294">
        <f t="shared" si="20"/>
        <v>255808.74336133149</v>
      </c>
      <c r="H165" s="294">
        <f t="shared" si="23"/>
        <v>157327.1717164469</v>
      </c>
      <c r="I165" s="294">
        <f t="shared" si="18"/>
        <v>98481.571644884592</v>
      </c>
      <c r="J165" s="295">
        <f t="shared" si="19"/>
        <v>44323308.08946953</v>
      </c>
      <c r="K165" s="302"/>
      <c r="L165" s="302"/>
      <c r="M165" s="302"/>
    </row>
    <row r="166" spans="2:13">
      <c r="B166" s="292"/>
      <c r="C166" s="292"/>
      <c r="D166" s="293">
        <f t="shared" si="21"/>
        <v>46661</v>
      </c>
      <c r="E166" s="291">
        <v>128</v>
      </c>
      <c r="F166" s="294">
        <f t="shared" si="22"/>
        <v>44323308.08946953</v>
      </c>
      <c r="G166" s="294">
        <f t="shared" si="20"/>
        <v>255808.74336133149</v>
      </c>
      <c r="H166" s="294">
        <f t="shared" si="23"/>
        <v>156978.38281687125</v>
      </c>
      <c r="I166" s="294">
        <f t="shared" si="18"/>
        <v>98830.360544460244</v>
      </c>
      <c r="J166" s="295">
        <f t="shared" si="19"/>
        <v>44224477.728925072</v>
      </c>
      <c r="K166" s="302"/>
      <c r="L166" s="302"/>
      <c r="M166" s="302"/>
    </row>
    <row r="167" spans="2:13">
      <c r="B167" s="292"/>
      <c r="C167" s="292"/>
      <c r="D167" s="293">
        <f t="shared" si="21"/>
        <v>46692</v>
      </c>
      <c r="E167" s="291">
        <v>129</v>
      </c>
      <c r="F167" s="294">
        <f t="shared" si="22"/>
        <v>44224477.728925072</v>
      </c>
      <c r="G167" s="294">
        <f t="shared" si="20"/>
        <v>255808.74336133149</v>
      </c>
      <c r="H167" s="294">
        <f t="shared" si="23"/>
        <v>156628.35862327632</v>
      </c>
      <c r="I167" s="294">
        <f t="shared" ref="I167:I230" si="24">IF(E167&lt;=$I$9,0,$C$9-H167)</f>
        <v>99180.384738055174</v>
      </c>
      <c r="J167" s="295">
        <f t="shared" ref="J167:J230" si="25">F167-I167</f>
        <v>44125297.344187014</v>
      </c>
      <c r="K167" s="302"/>
      <c r="L167" s="302"/>
      <c r="M167" s="302"/>
    </row>
    <row r="168" spans="2:13">
      <c r="B168" s="292"/>
      <c r="C168" s="292"/>
      <c r="D168" s="293">
        <f t="shared" si="21"/>
        <v>46722</v>
      </c>
      <c r="E168" s="291">
        <v>130</v>
      </c>
      <c r="F168" s="294">
        <f t="shared" si="22"/>
        <v>44125297.344187014</v>
      </c>
      <c r="G168" s="294">
        <f t="shared" ref="G168:G231" si="26">H168+I168</f>
        <v>255808.74336133149</v>
      </c>
      <c r="H168" s="294">
        <f t="shared" si="23"/>
        <v>156277.09476066235</v>
      </c>
      <c r="I168" s="294">
        <f t="shared" si="24"/>
        <v>99531.648600669141</v>
      </c>
      <c r="J168" s="295">
        <f t="shared" si="25"/>
        <v>44025765.695586346</v>
      </c>
      <c r="K168" s="302"/>
      <c r="L168" s="302"/>
      <c r="M168" s="302"/>
    </row>
    <row r="169" spans="2:13">
      <c r="B169" s="292"/>
      <c r="C169" s="292"/>
      <c r="D169" s="293">
        <f t="shared" ref="D169:D232" si="27">DATE(YEAR(D168),MONTH(D168)+1,1)</f>
        <v>46753</v>
      </c>
      <c r="E169" s="291">
        <v>131</v>
      </c>
      <c r="F169" s="294">
        <f t="shared" ref="F169:F232" si="28">J168</f>
        <v>44025765.695586346</v>
      </c>
      <c r="G169" s="294">
        <f t="shared" si="26"/>
        <v>255808.74336133149</v>
      </c>
      <c r="H169" s="294">
        <f t="shared" ref="H169:H232" si="29">$C$6*F169</f>
        <v>155924.58683853497</v>
      </c>
      <c r="I169" s="294">
        <f t="shared" si="24"/>
        <v>99884.156522796518</v>
      </c>
      <c r="J169" s="295">
        <f t="shared" si="25"/>
        <v>43925881.539063551</v>
      </c>
      <c r="K169" s="302"/>
      <c r="L169" s="302"/>
      <c r="M169" s="302"/>
    </row>
    <row r="170" spans="2:13">
      <c r="B170" s="292"/>
      <c r="C170" s="292"/>
      <c r="D170" s="293">
        <f t="shared" si="27"/>
        <v>46784</v>
      </c>
      <c r="E170" s="291">
        <v>132</v>
      </c>
      <c r="F170" s="294">
        <f t="shared" si="28"/>
        <v>43925881.539063551</v>
      </c>
      <c r="G170" s="294">
        <f t="shared" si="26"/>
        <v>255808.74336133149</v>
      </c>
      <c r="H170" s="294">
        <f t="shared" si="29"/>
        <v>155570.83045085007</v>
      </c>
      <c r="I170" s="294">
        <f t="shared" si="24"/>
        <v>100237.91291048142</v>
      </c>
      <c r="J170" s="301">
        <f t="shared" si="25"/>
        <v>43825643.626153067</v>
      </c>
      <c r="K170" s="302">
        <f>SUM(H159:H170)</f>
        <v>1889925.3933017983</v>
      </c>
      <c r="L170" s="302">
        <f>SUM(I159:I170)</f>
        <v>1179779.5270341795</v>
      </c>
      <c r="M170" s="302">
        <f>SUM(K170:L170)</f>
        <v>3069704.9203359778</v>
      </c>
    </row>
    <row r="171" spans="2:13">
      <c r="B171" s="303">
        <v>12</v>
      </c>
      <c r="C171" s="303">
        <f>C159+1</f>
        <v>2028</v>
      </c>
      <c r="D171" s="293">
        <f t="shared" si="27"/>
        <v>46813</v>
      </c>
      <c r="E171" s="304">
        <v>133</v>
      </c>
      <c r="F171" s="305">
        <f t="shared" si="28"/>
        <v>43825643.626153067</v>
      </c>
      <c r="G171" s="305">
        <f t="shared" si="26"/>
        <v>255808.74336133149</v>
      </c>
      <c r="H171" s="305">
        <f t="shared" si="29"/>
        <v>155215.82117595879</v>
      </c>
      <c r="I171" s="305">
        <f t="shared" si="24"/>
        <v>100592.92218537271</v>
      </c>
      <c r="J171" s="306">
        <f t="shared" si="25"/>
        <v>43725050.70396769</v>
      </c>
      <c r="K171" s="307"/>
      <c r="L171" s="307"/>
      <c r="M171" s="307"/>
    </row>
    <row r="172" spans="2:13">
      <c r="B172" s="292"/>
      <c r="C172" s="292"/>
      <c r="D172" s="293">
        <f t="shared" si="27"/>
        <v>46844</v>
      </c>
      <c r="E172" s="308">
        <v>134</v>
      </c>
      <c r="F172" s="309">
        <f t="shared" si="28"/>
        <v>43725050.70396769</v>
      </c>
      <c r="G172" s="309">
        <f t="shared" si="26"/>
        <v>255808.74336133149</v>
      </c>
      <c r="H172" s="309">
        <f t="shared" si="29"/>
        <v>154859.55457655224</v>
      </c>
      <c r="I172" s="309">
        <f t="shared" si="24"/>
        <v>100949.18878477925</v>
      </c>
      <c r="J172" s="310">
        <f t="shared" si="25"/>
        <v>43624101.515182912</v>
      </c>
      <c r="K172" s="311"/>
      <c r="L172" s="311"/>
      <c r="M172" s="311"/>
    </row>
    <row r="173" spans="2:13">
      <c r="B173" s="292"/>
      <c r="C173" s="292"/>
      <c r="D173" s="293">
        <f t="shared" si="27"/>
        <v>46874</v>
      </c>
      <c r="E173" s="308">
        <v>135</v>
      </c>
      <c r="F173" s="309">
        <f t="shared" si="28"/>
        <v>43624101.515182912</v>
      </c>
      <c r="G173" s="309">
        <f t="shared" si="26"/>
        <v>255808.74336133149</v>
      </c>
      <c r="H173" s="309">
        <f t="shared" si="29"/>
        <v>154502.02619960616</v>
      </c>
      <c r="I173" s="309">
        <f t="shared" si="24"/>
        <v>101306.71716172533</v>
      </c>
      <c r="J173" s="310">
        <f t="shared" si="25"/>
        <v>43522794.79802119</v>
      </c>
      <c r="K173" s="312"/>
      <c r="L173" s="312"/>
      <c r="M173" s="312"/>
    </row>
    <row r="174" spans="2:13">
      <c r="B174" s="292"/>
      <c r="C174" s="292"/>
      <c r="D174" s="293">
        <f t="shared" si="27"/>
        <v>46905</v>
      </c>
      <c r="E174" s="308">
        <v>136</v>
      </c>
      <c r="F174" s="309">
        <f t="shared" si="28"/>
        <v>43522794.79802119</v>
      </c>
      <c r="G174" s="309">
        <f t="shared" si="26"/>
        <v>255808.74336133149</v>
      </c>
      <c r="H174" s="309">
        <f t="shared" si="29"/>
        <v>154143.23157632505</v>
      </c>
      <c r="I174" s="309">
        <f t="shared" si="24"/>
        <v>101665.51178500644</v>
      </c>
      <c r="J174" s="310">
        <f t="shared" si="25"/>
        <v>43421129.286236182</v>
      </c>
      <c r="K174" s="312"/>
      <c r="L174" s="312"/>
      <c r="M174" s="312"/>
    </row>
    <row r="175" spans="2:13">
      <c r="B175" s="292"/>
      <c r="C175" s="292"/>
      <c r="D175" s="293">
        <f t="shared" si="27"/>
        <v>46935</v>
      </c>
      <c r="E175" s="308">
        <v>137</v>
      </c>
      <c r="F175" s="309">
        <f t="shared" si="28"/>
        <v>43421129.286236182</v>
      </c>
      <c r="G175" s="309">
        <f t="shared" si="26"/>
        <v>255808.74336133149</v>
      </c>
      <c r="H175" s="309">
        <f t="shared" si="29"/>
        <v>153783.1662220865</v>
      </c>
      <c r="I175" s="309">
        <f t="shared" si="24"/>
        <v>102025.577139245</v>
      </c>
      <c r="J175" s="310">
        <f t="shared" si="25"/>
        <v>43319103.709096938</v>
      </c>
      <c r="K175" s="312"/>
      <c r="L175" s="312"/>
      <c r="M175" s="312"/>
    </row>
    <row r="176" spans="2:13">
      <c r="B176" s="292"/>
      <c r="C176" s="292"/>
      <c r="D176" s="293">
        <f t="shared" si="27"/>
        <v>46966</v>
      </c>
      <c r="E176" s="308">
        <v>138</v>
      </c>
      <c r="F176" s="309">
        <f t="shared" si="28"/>
        <v>43319103.709096938</v>
      </c>
      <c r="G176" s="309">
        <f t="shared" si="26"/>
        <v>255808.74336133149</v>
      </c>
      <c r="H176" s="309">
        <f t="shared" si="29"/>
        <v>153421.82563638501</v>
      </c>
      <c r="I176" s="309">
        <f t="shared" si="24"/>
        <v>102386.91772494648</v>
      </c>
      <c r="J176" s="310">
        <f t="shared" si="25"/>
        <v>43216716.791371994</v>
      </c>
      <c r="K176" s="312"/>
      <c r="L176" s="312"/>
      <c r="M176" s="312"/>
    </row>
    <row r="177" spans="2:13">
      <c r="B177" s="292"/>
      <c r="C177" s="292"/>
      <c r="D177" s="293">
        <f t="shared" si="27"/>
        <v>46997</v>
      </c>
      <c r="E177" s="308">
        <v>139</v>
      </c>
      <c r="F177" s="309">
        <f t="shared" si="28"/>
        <v>43216716.791371994</v>
      </c>
      <c r="G177" s="309">
        <f t="shared" si="26"/>
        <v>255808.74336133149</v>
      </c>
      <c r="H177" s="309">
        <f t="shared" si="29"/>
        <v>153059.20530277581</v>
      </c>
      <c r="I177" s="309">
        <f t="shared" si="24"/>
        <v>102749.53805855568</v>
      </c>
      <c r="J177" s="310">
        <f t="shared" si="25"/>
        <v>43113967.253313437</v>
      </c>
      <c r="K177" s="312"/>
      <c r="L177" s="312"/>
      <c r="M177" s="312"/>
    </row>
    <row r="178" spans="2:13">
      <c r="B178" s="292"/>
      <c r="C178" s="292"/>
      <c r="D178" s="293">
        <f t="shared" si="27"/>
        <v>47027</v>
      </c>
      <c r="E178" s="308">
        <v>140</v>
      </c>
      <c r="F178" s="309">
        <f t="shared" si="28"/>
        <v>43113967.253313437</v>
      </c>
      <c r="G178" s="309">
        <f t="shared" si="26"/>
        <v>255808.74336133149</v>
      </c>
      <c r="H178" s="309">
        <f t="shared" si="29"/>
        <v>152695.30068881845</v>
      </c>
      <c r="I178" s="309">
        <f t="shared" si="24"/>
        <v>103113.44267251305</v>
      </c>
      <c r="J178" s="310">
        <f t="shared" si="25"/>
        <v>43010853.810640924</v>
      </c>
      <c r="K178" s="312"/>
      <c r="L178" s="312"/>
      <c r="M178" s="312"/>
    </row>
    <row r="179" spans="2:13">
      <c r="B179" s="292"/>
      <c r="C179" s="292"/>
      <c r="D179" s="293">
        <f t="shared" si="27"/>
        <v>47058</v>
      </c>
      <c r="E179" s="308">
        <v>141</v>
      </c>
      <c r="F179" s="309">
        <f t="shared" si="28"/>
        <v>43010853.810640924</v>
      </c>
      <c r="G179" s="309">
        <f t="shared" si="26"/>
        <v>255808.74336133149</v>
      </c>
      <c r="H179" s="309">
        <f t="shared" si="29"/>
        <v>152330.10724601994</v>
      </c>
      <c r="I179" s="309">
        <f t="shared" si="24"/>
        <v>103478.63611531156</v>
      </c>
      <c r="J179" s="310">
        <f t="shared" si="25"/>
        <v>42907375.174525611</v>
      </c>
      <c r="K179" s="312"/>
      <c r="L179" s="312"/>
      <c r="M179" s="312"/>
    </row>
    <row r="180" spans="2:13">
      <c r="B180" s="292"/>
      <c r="C180" s="292"/>
      <c r="D180" s="293">
        <f t="shared" si="27"/>
        <v>47088</v>
      </c>
      <c r="E180" s="308">
        <v>142</v>
      </c>
      <c r="F180" s="309">
        <f t="shared" si="28"/>
        <v>42907375.174525611</v>
      </c>
      <c r="G180" s="309">
        <f t="shared" si="26"/>
        <v>255808.74336133149</v>
      </c>
      <c r="H180" s="309">
        <f t="shared" si="29"/>
        <v>151963.6204097782</v>
      </c>
      <c r="I180" s="309">
        <f t="shared" si="24"/>
        <v>103845.12295155329</v>
      </c>
      <c r="J180" s="310">
        <f t="shared" si="25"/>
        <v>42803530.051574059</v>
      </c>
      <c r="K180" s="312"/>
      <c r="L180" s="312"/>
      <c r="M180" s="312"/>
    </row>
    <row r="181" spans="2:13">
      <c r="B181" s="292"/>
      <c r="C181" s="292"/>
      <c r="D181" s="293">
        <f t="shared" si="27"/>
        <v>47119</v>
      </c>
      <c r="E181" s="308">
        <v>143</v>
      </c>
      <c r="F181" s="309">
        <f t="shared" si="28"/>
        <v>42803530.051574059</v>
      </c>
      <c r="G181" s="309">
        <f t="shared" si="26"/>
        <v>255808.74336133149</v>
      </c>
      <c r="H181" s="309">
        <f t="shared" si="29"/>
        <v>151595.83559932481</v>
      </c>
      <c r="I181" s="309">
        <f t="shared" si="24"/>
        <v>104212.90776200668</v>
      </c>
      <c r="J181" s="310">
        <f t="shared" si="25"/>
        <v>42699317.143812053</v>
      </c>
      <c r="K181" s="312"/>
      <c r="L181" s="312"/>
      <c r="M181" s="312"/>
    </row>
    <row r="182" spans="2:13">
      <c r="B182" s="292"/>
      <c r="C182" s="292"/>
      <c r="D182" s="293">
        <f t="shared" si="27"/>
        <v>47150</v>
      </c>
      <c r="E182" s="314">
        <v>144</v>
      </c>
      <c r="F182" s="315">
        <f t="shared" si="28"/>
        <v>42699317.143812053</v>
      </c>
      <c r="G182" s="315">
        <f t="shared" si="26"/>
        <v>255808.74336133149</v>
      </c>
      <c r="H182" s="315">
        <f t="shared" si="29"/>
        <v>151226.74821766769</v>
      </c>
      <c r="I182" s="315">
        <f t="shared" si="24"/>
        <v>104581.99514366381</v>
      </c>
      <c r="J182" s="316">
        <f t="shared" si="25"/>
        <v>42594735.148668386</v>
      </c>
      <c r="K182" s="317">
        <f>SUM(H171:H182)</f>
        <v>1838796.442851299</v>
      </c>
      <c r="L182" s="317">
        <f>SUM(I171:I182)</f>
        <v>1230908.4774846793</v>
      </c>
      <c r="M182" s="317">
        <f>SUM(K182:L182)</f>
        <v>3069704.9203359783</v>
      </c>
    </row>
    <row r="183" spans="2:13">
      <c r="B183" s="303">
        <v>13</v>
      </c>
      <c r="C183" s="303">
        <f>C171+1</f>
        <v>2029</v>
      </c>
      <c r="D183" s="293">
        <f t="shared" si="27"/>
        <v>47178</v>
      </c>
      <c r="E183" s="321">
        <v>145</v>
      </c>
      <c r="F183" s="322">
        <f t="shared" si="28"/>
        <v>42594735.148668386</v>
      </c>
      <c r="G183" s="322">
        <f t="shared" si="26"/>
        <v>255808.74336133149</v>
      </c>
      <c r="H183" s="322">
        <f t="shared" si="29"/>
        <v>150856.35365153386</v>
      </c>
      <c r="I183" s="322">
        <f t="shared" si="24"/>
        <v>104952.38970979763</v>
      </c>
      <c r="J183" s="323">
        <f t="shared" si="25"/>
        <v>42489782.758958586</v>
      </c>
      <c r="K183" s="324"/>
      <c r="L183" s="324"/>
      <c r="M183" s="324"/>
    </row>
    <row r="184" spans="2:13">
      <c r="B184" s="292"/>
      <c r="C184" s="292"/>
      <c r="D184" s="293">
        <f t="shared" si="27"/>
        <v>47209</v>
      </c>
      <c r="E184" s="291">
        <v>146</v>
      </c>
      <c r="F184" s="294">
        <f t="shared" si="28"/>
        <v>42489782.758958586</v>
      </c>
      <c r="G184" s="294">
        <f t="shared" si="26"/>
        <v>255808.74336133149</v>
      </c>
      <c r="H184" s="294">
        <f t="shared" si="29"/>
        <v>150484.64727131167</v>
      </c>
      <c r="I184" s="294">
        <f t="shared" si="24"/>
        <v>105324.09609001983</v>
      </c>
      <c r="J184" s="295">
        <f t="shared" si="25"/>
        <v>42384458.662868567</v>
      </c>
      <c r="K184" s="302"/>
      <c r="L184" s="302"/>
      <c r="M184" s="302"/>
    </row>
    <row r="185" spans="2:13">
      <c r="B185" s="292"/>
      <c r="C185" s="292"/>
      <c r="D185" s="293">
        <f t="shared" si="27"/>
        <v>47239</v>
      </c>
      <c r="E185" s="291">
        <v>147</v>
      </c>
      <c r="F185" s="294">
        <f t="shared" si="28"/>
        <v>42384458.662868567</v>
      </c>
      <c r="G185" s="294">
        <f t="shared" si="26"/>
        <v>255808.74336133149</v>
      </c>
      <c r="H185" s="294">
        <f t="shared" si="29"/>
        <v>150111.62443099284</v>
      </c>
      <c r="I185" s="294">
        <f t="shared" si="24"/>
        <v>105697.11893033865</v>
      </c>
      <c r="J185" s="295">
        <f t="shared" si="25"/>
        <v>42278761.543938227</v>
      </c>
      <c r="K185" s="302"/>
      <c r="L185" s="302"/>
      <c r="M185" s="302"/>
    </row>
    <row r="186" spans="2:13">
      <c r="B186" s="292"/>
      <c r="C186" s="292"/>
      <c r="D186" s="293">
        <f t="shared" si="27"/>
        <v>47270</v>
      </c>
      <c r="E186" s="291">
        <v>148</v>
      </c>
      <c r="F186" s="294">
        <f t="shared" si="28"/>
        <v>42278761.543938227</v>
      </c>
      <c r="G186" s="294">
        <f t="shared" si="26"/>
        <v>255808.74336133149</v>
      </c>
      <c r="H186" s="294">
        <f t="shared" si="29"/>
        <v>149737.28046811456</v>
      </c>
      <c r="I186" s="294">
        <f t="shared" si="24"/>
        <v>106071.46289321693</v>
      </c>
      <c r="J186" s="295">
        <f t="shared" si="25"/>
        <v>42172690.081045009</v>
      </c>
      <c r="K186" s="302"/>
      <c r="L186" s="302"/>
      <c r="M186" s="302"/>
    </row>
    <row r="187" spans="2:13">
      <c r="B187" s="292"/>
      <c r="C187" s="292"/>
      <c r="D187" s="293">
        <f t="shared" si="27"/>
        <v>47300</v>
      </c>
      <c r="E187" s="291">
        <v>149</v>
      </c>
      <c r="F187" s="294">
        <f t="shared" si="28"/>
        <v>42172690.081045009</v>
      </c>
      <c r="G187" s="294">
        <f t="shared" si="26"/>
        <v>255808.74336133149</v>
      </c>
      <c r="H187" s="294">
        <f t="shared" si="29"/>
        <v>149361.6107037011</v>
      </c>
      <c r="I187" s="294">
        <f t="shared" si="24"/>
        <v>106447.1326576304</v>
      </c>
      <c r="J187" s="295">
        <f t="shared" si="25"/>
        <v>42066242.948387377</v>
      </c>
      <c r="K187" s="302"/>
      <c r="L187" s="302"/>
      <c r="M187" s="302"/>
    </row>
    <row r="188" spans="2:13">
      <c r="B188" s="292"/>
      <c r="C188" s="292"/>
      <c r="D188" s="293">
        <f t="shared" si="27"/>
        <v>47331</v>
      </c>
      <c r="E188" s="291">
        <v>150</v>
      </c>
      <c r="F188" s="294">
        <f t="shared" si="28"/>
        <v>42066242.948387377</v>
      </c>
      <c r="G188" s="294">
        <f t="shared" si="26"/>
        <v>255808.74336133149</v>
      </c>
      <c r="H188" s="294">
        <f t="shared" si="29"/>
        <v>148984.6104422053</v>
      </c>
      <c r="I188" s="294">
        <f t="shared" si="24"/>
        <v>106824.13291912619</v>
      </c>
      <c r="J188" s="295">
        <f t="shared" si="25"/>
        <v>41959418.815468252</v>
      </c>
      <c r="K188" s="302"/>
      <c r="L188" s="302"/>
      <c r="M188" s="302"/>
    </row>
    <row r="189" spans="2:13">
      <c r="B189" s="292"/>
      <c r="C189" s="292"/>
      <c r="D189" s="293">
        <f t="shared" si="27"/>
        <v>47362</v>
      </c>
      <c r="E189" s="291">
        <v>151</v>
      </c>
      <c r="F189" s="294">
        <f t="shared" si="28"/>
        <v>41959418.815468252</v>
      </c>
      <c r="G189" s="294">
        <f t="shared" si="26"/>
        <v>255808.74336133149</v>
      </c>
      <c r="H189" s="294">
        <f t="shared" si="29"/>
        <v>148606.27497145007</v>
      </c>
      <c r="I189" s="294">
        <f t="shared" si="24"/>
        <v>107202.46838988143</v>
      </c>
      <c r="J189" s="295">
        <f t="shared" si="25"/>
        <v>41852216.347078368</v>
      </c>
      <c r="K189" s="302"/>
      <c r="L189" s="302"/>
      <c r="M189" s="302"/>
    </row>
    <row r="190" spans="2:13">
      <c r="B190" s="292"/>
      <c r="C190" s="292"/>
      <c r="D190" s="293">
        <f t="shared" si="27"/>
        <v>47392</v>
      </c>
      <c r="E190" s="291">
        <v>152</v>
      </c>
      <c r="F190" s="294">
        <f t="shared" si="28"/>
        <v>41852216.347078368</v>
      </c>
      <c r="G190" s="294">
        <f t="shared" si="26"/>
        <v>255808.74336133149</v>
      </c>
      <c r="H190" s="294">
        <f t="shared" si="29"/>
        <v>148226.59956256923</v>
      </c>
      <c r="I190" s="294">
        <f t="shared" si="24"/>
        <v>107582.14379876226</v>
      </c>
      <c r="J190" s="295">
        <f t="shared" si="25"/>
        <v>41744634.203279607</v>
      </c>
      <c r="K190" s="302"/>
      <c r="L190" s="302"/>
      <c r="M190" s="302"/>
    </row>
    <row r="191" spans="2:13">
      <c r="B191" s="292"/>
      <c r="C191" s="292"/>
      <c r="D191" s="293">
        <f t="shared" si="27"/>
        <v>47423</v>
      </c>
      <c r="E191" s="291">
        <v>153</v>
      </c>
      <c r="F191" s="294">
        <f t="shared" si="28"/>
        <v>41744634.203279607</v>
      </c>
      <c r="G191" s="294">
        <f t="shared" si="26"/>
        <v>255808.74336133149</v>
      </c>
      <c r="H191" s="294">
        <f t="shared" si="29"/>
        <v>147845.57946994863</v>
      </c>
      <c r="I191" s="294">
        <f t="shared" si="24"/>
        <v>107963.16389138286</v>
      </c>
      <c r="J191" s="295">
        <f t="shared" si="25"/>
        <v>41636671.039388224</v>
      </c>
      <c r="K191" s="302"/>
      <c r="L191" s="302"/>
      <c r="M191" s="302"/>
    </row>
    <row r="192" spans="2:13">
      <c r="B192" s="292"/>
      <c r="C192" s="292"/>
      <c r="D192" s="293">
        <f t="shared" si="27"/>
        <v>47453</v>
      </c>
      <c r="E192" s="291">
        <v>154</v>
      </c>
      <c r="F192" s="294">
        <f t="shared" si="28"/>
        <v>41636671.039388224</v>
      </c>
      <c r="G192" s="294">
        <f t="shared" si="26"/>
        <v>255808.74336133149</v>
      </c>
      <c r="H192" s="294">
        <f t="shared" si="29"/>
        <v>147463.20993116664</v>
      </c>
      <c r="I192" s="294">
        <f t="shared" si="24"/>
        <v>108345.53343016485</v>
      </c>
      <c r="J192" s="295">
        <f t="shared" si="25"/>
        <v>41528325.505958058</v>
      </c>
      <c r="K192" s="302"/>
      <c r="L192" s="302"/>
      <c r="M192" s="302"/>
    </row>
    <row r="193" spans="2:13">
      <c r="B193" s="292"/>
      <c r="C193" s="292"/>
      <c r="D193" s="293">
        <f t="shared" si="27"/>
        <v>47484</v>
      </c>
      <c r="E193" s="291">
        <v>155</v>
      </c>
      <c r="F193" s="294">
        <f t="shared" si="28"/>
        <v>41528325.505958058</v>
      </c>
      <c r="G193" s="294">
        <f t="shared" si="26"/>
        <v>255808.74336133149</v>
      </c>
      <c r="H193" s="294">
        <f t="shared" si="29"/>
        <v>147079.4861669348</v>
      </c>
      <c r="I193" s="294">
        <f t="shared" si="24"/>
        <v>108729.25719439669</v>
      </c>
      <c r="J193" s="295">
        <f t="shared" si="25"/>
        <v>41419596.248763658</v>
      </c>
      <c r="K193" s="302"/>
      <c r="L193" s="302"/>
      <c r="M193" s="302"/>
    </row>
    <row r="194" spans="2:13">
      <c r="B194" s="292"/>
      <c r="C194" s="292"/>
      <c r="D194" s="293">
        <f t="shared" si="27"/>
        <v>47515</v>
      </c>
      <c r="E194" s="291">
        <v>156</v>
      </c>
      <c r="F194" s="294">
        <f t="shared" si="28"/>
        <v>41419596.248763658</v>
      </c>
      <c r="G194" s="294">
        <f t="shared" si="26"/>
        <v>255808.74336133149</v>
      </c>
      <c r="H194" s="294">
        <f t="shared" si="29"/>
        <v>146694.40338103796</v>
      </c>
      <c r="I194" s="294">
        <f t="shared" si="24"/>
        <v>109114.33998029353</v>
      </c>
      <c r="J194" s="301">
        <f t="shared" si="25"/>
        <v>41310481.908783361</v>
      </c>
      <c r="K194" s="302">
        <f>SUM(H183:H194)</f>
        <v>1785451.6804509666</v>
      </c>
      <c r="L194" s="302">
        <f>SUM(I183:I194)</f>
        <v>1284253.2398850112</v>
      </c>
      <c r="M194" s="302">
        <f>SUM(K194:L194)</f>
        <v>3069704.9203359778</v>
      </c>
    </row>
    <row r="195" spans="2:13">
      <c r="B195" s="303">
        <v>14</v>
      </c>
      <c r="C195" s="303">
        <f>C183+1</f>
        <v>2030</v>
      </c>
      <c r="D195" s="293">
        <f t="shared" si="27"/>
        <v>47543</v>
      </c>
      <c r="E195" s="304">
        <v>157</v>
      </c>
      <c r="F195" s="305">
        <f t="shared" si="28"/>
        <v>41310481.908783361</v>
      </c>
      <c r="G195" s="305">
        <f t="shared" si="26"/>
        <v>255808.74336133149</v>
      </c>
      <c r="H195" s="305">
        <f t="shared" si="29"/>
        <v>146307.95676027442</v>
      </c>
      <c r="I195" s="305">
        <f t="shared" si="24"/>
        <v>109500.78660105707</v>
      </c>
      <c r="J195" s="306">
        <f t="shared" si="25"/>
        <v>41200981.122182302</v>
      </c>
      <c r="K195" s="307"/>
      <c r="L195" s="307"/>
      <c r="M195" s="307"/>
    </row>
    <row r="196" spans="2:13">
      <c r="B196" s="292"/>
      <c r="C196" s="292"/>
      <c r="D196" s="293">
        <f t="shared" si="27"/>
        <v>47574</v>
      </c>
      <c r="E196" s="308">
        <v>158</v>
      </c>
      <c r="F196" s="309">
        <f t="shared" si="28"/>
        <v>41200981.122182302</v>
      </c>
      <c r="G196" s="309">
        <f t="shared" si="26"/>
        <v>255808.74336133149</v>
      </c>
      <c r="H196" s="309">
        <f t="shared" si="29"/>
        <v>145920.14147439567</v>
      </c>
      <c r="I196" s="309">
        <f t="shared" si="24"/>
        <v>109888.60188693582</v>
      </c>
      <c r="J196" s="310">
        <f t="shared" si="25"/>
        <v>41091092.520295367</v>
      </c>
      <c r="K196" s="311"/>
      <c r="L196" s="311"/>
      <c r="M196" s="311"/>
    </row>
    <row r="197" spans="2:13">
      <c r="B197" s="292"/>
      <c r="C197" s="292"/>
      <c r="D197" s="293">
        <f t="shared" si="27"/>
        <v>47604</v>
      </c>
      <c r="E197" s="308">
        <v>159</v>
      </c>
      <c r="F197" s="309">
        <f t="shared" si="28"/>
        <v>41091092.520295367</v>
      </c>
      <c r="G197" s="309">
        <f t="shared" si="26"/>
        <v>255808.74336133149</v>
      </c>
      <c r="H197" s="309">
        <f t="shared" si="29"/>
        <v>145530.95267604609</v>
      </c>
      <c r="I197" s="309">
        <f t="shared" si="24"/>
        <v>110277.79068528541</v>
      </c>
      <c r="J197" s="310">
        <f t="shared" si="25"/>
        <v>40980814.729610078</v>
      </c>
      <c r="K197" s="312"/>
      <c r="L197" s="312"/>
      <c r="M197" s="312"/>
    </row>
    <row r="198" spans="2:13">
      <c r="B198" s="292"/>
      <c r="C198" s="292"/>
      <c r="D198" s="293">
        <f t="shared" si="27"/>
        <v>47635</v>
      </c>
      <c r="E198" s="308">
        <v>160</v>
      </c>
      <c r="F198" s="309">
        <f t="shared" si="28"/>
        <v>40980814.729610078</v>
      </c>
      <c r="G198" s="309">
        <f t="shared" si="26"/>
        <v>255808.74336133149</v>
      </c>
      <c r="H198" s="309">
        <f t="shared" si="29"/>
        <v>145140.38550070237</v>
      </c>
      <c r="I198" s="309">
        <f t="shared" si="24"/>
        <v>110668.35786062913</v>
      </c>
      <c r="J198" s="310">
        <f t="shared" si="25"/>
        <v>40870146.371749446</v>
      </c>
      <c r="K198" s="312"/>
      <c r="L198" s="312"/>
      <c r="M198" s="312"/>
    </row>
    <row r="199" spans="2:13">
      <c r="B199" s="292"/>
      <c r="C199" s="292"/>
      <c r="D199" s="293">
        <f t="shared" si="27"/>
        <v>47665</v>
      </c>
      <c r="E199" s="308">
        <v>161</v>
      </c>
      <c r="F199" s="309">
        <f t="shared" si="28"/>
        <v>40870146.371749446</v>
      </c>
      <c r="G199" s="309">
        <f t="shared" si="26"/>
        <v>255808.74336133149</v>
      </c>
      <c r="H199" s="309">
        <f t="shared" si="29"/>
        <v>144748.43506661264</v>
      </c>
      <c r="I199" s="309">
        <f t="shared" si="24"/>
        <v>111060.30829471885</v>
      </c>
      <c r="J199" s="310">
        <f t="shared" si="25"/>
        <v>40759086.063454725</v>
      </c>
      <c r="K199" s="312"/>
      <c r="L199" s="312"/>
      <c r="M199" s="312"/>
    </row>
    <row r="200" spans="2:13">
      <c r="B200" s="292"/>
      <c r="C200" s="292"/>
      <c r="D200" s="293">
        <f t="shared" si="27"/>
        <v>47696</v>
      </c>
      <c r="E200" s="308">
        <v>162</v>
      </c>
      <c r="F200" s="309">
        <f t="shared" si="28"/>
        <v>40759086.063454725</v>
      </c>
      <c r="G200" s="309">
        <f t="shared" si="26"/>
        <v>255808.74336133149</v>
      </c>
      <c r="H200" s="309">
        <f t="shared" si="29"/>
        <v>144355.0964747355</v>
      </c>
      <c r="I200" s="309">
        <f t="shared" si="24"/>
        <v>111453.64688659599</v>
      </c>
      <c r="J200" s="310">
        <f t="shared" si="25"/>
        <v>40647632.41656813</v>
      </c>
      <c r="K200" s="312"/>
      <c r="L200" s="312"/>
      <c r="M200" s="312"/>
    </row>
    <row r="201" spans="2:13">
      <c r="B201" s="292"/>
      <c r="C201" s="292"/>
      <c r="D201" s="293">
        <f t="shared" si="27"/>
        <v>47727</v>
      </c>
      <c r="E201" s="308">
        <v>163</v>
      </c>
      <c r="F201" s="309">
        <f t="shared" si="28"/>
        <v>40647632.41656813</v>
      </c>
      <c r="G201" s="309">
        <f t="shared" si="26"/>
        <v>255808.74336133149</v>
      </c>
      <c r="H201" s="309">
        <f t="shared" si="29"/>
        <v>143960.3648086788</v>
      </c>
      <c r="I201" s="309">
        <f t="shared" si="24"/>
        <v>111848.37855265269</v>
      </c>
      <c r="J201" s="310">
        <f t="shared" si="25"/>
        <v>40535784.038015477</v>
      </c>
      <c r="K201" s="312"/>
      <c r="L201" s="312"/>
      <c r="M201" s="312"/>
    </row>
    <row r="202" spans="2:13">
      <c r="B202" s="292"/>
      <c r="C202" s="292"/>
      <c r="D202" s="293">
        <f t="shared" si="27"/>
        <v>47757</v>
      </c>
      <c r="E202" s="308">
        <v>164</v>
      </c>
      <c r="F202" s="309">
        <f t="shared" si="28"/>
        <v>40535784.038015477</v>
      </c>
      <c r="G202" s="309">
        <f t="shared" si="26"/>
        <v>255808.74336133149</v>
      </c>
      <c r="H202" s="309">
        <f t="shared" si="29"/>
        <v>143564.23513463815</v>
      </c>
      <c r="I202" s="309">
        <f t="shared" si="24"/>
        <v>112244.50822669335</v>
      </c>
      <c r="J202" s="310">
        <f t="shared" si="25"/>
        <v>40423539.529788785</v>
      </c>
      <c r="K202" s="312"/>
      <c r="L202" s="312"/>
      <c r="M202" s="312"/>
    </row>
    <row r="203" spans="2:13">
      <c r="B203" s="292"/>
      <c r="C203" s="292"/>
      <c r="D203" s="293">
        <f t="shared" si="27"/>
        <v>47788</v>
      </c>
      <c r="E203" s="308">
        <v>165</v>
      </c>
      <c r="F203" s="309">
        <f t="shared" si="28"/>
        <v>40423539.529788785</v>
      </c>
      <c r="G203" s="309">
        <f t="shared" si="26"/>
        <v>255808.74336133149</v>
      </c>
      <c r="H203" s="309">
        <f t="shared" si="29"/>
        <v>143166.7025013353</v>
      </c>
      <c r="I203" s="309">
        <f t="shared" si="24"/>
        <v>112642.0408599962</v>
      </c>
      <c r="J203" s="310">
        <f t="shared" si="25"/>
        <v>40310897.488928787</v>
      </c>
      <c r="K203" s="312"/>
      <c r="L203" s="312"/>
      <c r="M203" s="312"/>
    </row>
    <row r="204" spans="2:13">
      <c r="B204" s="292"/>
      <c r="C204" s="292"/>
      <c r="D204" s="293">
        <f t="shared" si="27"/>
        <v>47818</v>
      </c>
      <c r="E204" s="308">
        <v>166</v>
      </c>
      <c r="F204" s="309">
        <f t="shared" si="28"/>
        <v>40310897.488928787</v>
      </c>
      <c r="G204" s="309">
        <f t="shared" si="26"/>
        <v>255808.74336133149</v>
      </c>
      <c r="H204" s="309">
        <f t="shared" si="29"/>
        <v>142767.76193995614</v>
      </c>
      <c r="I204" s="309">
        <f t="shared" si="24"/>
        <v>113040.98142137536</v>
      </c>
      <c r="J204" s="310">
        <f t="shared" si="25"/>
        <v>40197856.507507414</v>
      </c>
      <c r="K204" s="312"/>
      <c r="L204" s="312"/>
      <c r="M204" s="312"/>
    </row>
    <row r="205" spans="2:13">
      <c r="B205" s="292"/>
      <c r="C205" s="292"/>
      <c r="D205" s="293">
        <f t="shared" si="27"/>
        <v>47849</v>
      </c>
      <c r="E205" s="308">
        <v>167</v>
      </c>
      <c r="F205" s="309">
        <f t="shared" si="28"/>
        <v>40197856.507507414</v>
      </c>
      <c r="G205" s="309">
        <f t="shared" si="26"/>
        <v>255808.74336133149</v>
      </c>
      <c r="H205" s="309">
        <f t="shared" si="29"/>
        <v>142367.40846408877</v>
      </c>
      <c r="I205" s="309">
        <f t="shared" si="24"/>
        <v>113441.33489724272</v>
      </c>
      <c r="J205" s="310">
        <f t="shared" si="25"/>
        <v>40084415.172610171</v>
      </c>
      <c r="K205" s="312"/>
      <c r="L205" s="312"/>
      <c r="M205" s="312"/>
    </row>
    <row r="206" spans="2:13">
      <c r="B206" s="292"/>
      <c r="C206" s="292"/>
      <c r="D206" s="293">
        <f t="shared" si="27"/>
        <v>47880</v>
      </c>
      <c r="E206" s="314">
        <v>168</v>
      </c>
      <c r="F206" s="315">
        <f t="shared" si="28"/>
        <v>40084415.172610171</v>
      </c>
      <c r="G206" s="315">
        <f t="shared" si="26"/>
        <v>255808.74336133149</v>
      </c>
      <c r="H206" s="315">
        <f t="shared" si="29"/>
        <v>141965.63706966102</v>
      </c>
      <c r="I206" s="315">
        <f t="shared" si="24"/>
        <v>113843.10629167047</v>
      </c>
      <c r="J206" s="316">
        <f t="shared" si="25"/>
        <v>39970572.066318497</v>
      </c>
      <c r="K206" s="317">
        <f>SUM(H195:H206)</f>
        <v>1729795.077871125</v>
      </c>
      <c r="L206" s="317">
        <f>SUM(I195:I206)</f>
        <v>1339909.8424648531</v>
      </c>
      <c r="M206" s="317">
        <f>SUM(K206:L206)</f>
        <v>3069704.9203359783</v>
      </c>
    </row>
    <row r="207" spans="2:13">
      <c r="B207" s="303">
        <v>15</v>
      </c>
      <c r="C207" s="303">
        <f>C195+1</f>
        <v>2031</v>
      </c>
      <c r="D207" s="293">
        <f t="shared" si="27"/>
        <v>47908</v>
      </c>
      <c r="E207" s="321">
        <v>169</v>
      </c>
      <c r="F207" s="322">
        <f t="shared" si="28"/>
        <v>39970572.066318497</v>
      </c>
      <c r="G207" s="322">
        <f t="shared" si="26"/>
        <v>255808.74336133149</v>
      </c>
      <c r="H207" s="322">
        <f t="shared" si="29"/>
        <v>141562.44273487802</v>
      </c>
      <c r="I207" s="322">
        <f t="shared" si="24"/>
        <v>114246.30062645348</v>
      </c>
      <c r="J207" s="323">
        <f t="shared" si="25"/>
        <v>39856325.76569204</v>
      </c>
      <c r="K207" s="324"/>
      <c r="L207" s="324"/>
      <c r="M207" s="324"/>
    </row>
    <row r="208" spans="2:13">
      <c r="B208" s="292"/>
      <c r="C208" s="292"/>
      <c r="D208" s="293">
        <f t="shared" si="27"/>
        <v>47939</v>
      </c>
      <c r="E208" s="291">
        <v>170</v>
      </c>
      <c r="F208" s="294">
        <f t="shared" si="28"/>
        <v>39856325.76569204</v>
      </c>
      <c r="G208" s="294">
        <f t="shared" si="26"/>
        <v>255808.74336133149</v>
      </c>
      <c r="H208" s="294">
        <f t="shared" si="29"/>
        <v>141157.82042015932</v>
      </c>
      <c r="I208" s="294">
        <f t="shared" si="24"/>
        <v>114650.92294117218</v>
      </c>
      <c r="J208" s="295">
        <f t="shared" si="25"/>
        <v>39741674.84275087</v>
      </c>
      <c r="K208" s="302"/>
      <c r="L208" s="302"/>
      <c r="M208" s="302"/>
    </row>
    <row r="209" spans="2:13">
      <c r="B209" s="292"/>
      <c r="C209" s="292"/>
      <c r="D209" s="293">
        <f t="shared" si="27"/>
        <v>47969</v>
      </c>
      <c r="E209" s="291">
        <v>171</v>
      </c>
      <c r="F209" s="294">
        <f t="shared" si="28"/>
        <v>39741674.84275087</v>
      </c>
      <c r="G209" s="294">
        <f t="shared" si="26"/>
        <v>255808.74336133149</v>
      </c>
      <c r="H209" s="294">
        <f t="shared" si="29"/>
        <v>140751.765068076</v>
      </c>
      <c r="I209" s="294">
        <f t="shared" si="24"/>
        <v>115056.9782932555</v>
      </c>
      <c r="J209" s="295">
        <f t="shared" si="25"/>
        <v>39626617.864457615</v>
      </c>
      <c r="K209" s="302"/>
      <c r="L209" s="302"/>
      <c r="M209" s="302"/>
    </row>
    <row r="210" spans="2:13">
      <c r="B210" s="292"/>
      <c r="C210" s="292"/>
      <c r="D210" s="293">
        <f t="shared" si="27"/>
        <v>48000</v>
      </c>
      <c r="E210" s="291">
        <v>172</v>
      </c>
      <c r="F210" s="294">
        <f t="shared" si="28"/>
        <v>39626617.864457615</v>
      </c>
      <c r="G210" s="294">
        <f t="shared" si="26"/>
        <v>255808.74336133149</v>
      </c>
      <c r="H210" s="294">
        <f t="shared" si="29"/>
        <v>140344.2716032874</v>
      </c>
      <c r="I210" s="294">
        <f t="shared" si="24"/>
        <v>115464.47175804409</v>
      </c>
      <c r="J210" s="295">
        <f t="shared" si="25"/>
        <v>39511153.392699569</v>
      </c>
      <c r="K210" s="302"/>
      <c r="L210" s="302"/>
      <c r="M210" s="302"/>
    </row>
    <row r="211" spans="2:13">
      <c r="B211" s="292"/>
      <c r="C211" s="292"/>
      <c r="D211" s="293">
        <f t="shared" si="27"/>
        <v>48030</v>
      </c>
      <c r="E211" s="291">
        <v>173</v>
      </c>
      <c r="F211" s="294">
        <f t="shared" si="28"/>
        <v>39511153.392699569</v>
      </c>
      <c r="G211" s="294">
        <f t="shared" si="26"/>
        <v>255808.74336133149</v>
      </c>
      <c r="H211" s="294">
        <f t="shared" si="29"/>
        <v>139935.33493247765</v>
      </c>
      <c r="I211" s="294">
        <f t="shared" si="24"/>
        <v>115873.40842885384</v>
      </c>
      <c r="J211" s="295">
        <f t="shared" si="25"/>
        <v>39395279.984270714</v>
      </c>
      <c r="K211" s="302"/>
      <c r="L211" s="302"/>
      <c r="M211" s="302"/>
    </row>
    <row r="212" spans="2:13">
      <c r="B212" s="292"/>
      <c r="C212" s="292"/>
      <c r="D212" s="293">
        <f t="shared" si="27"/>
        <v>48061</v>
      </c>
      <c r="E212" s="291">
        <v>174</v>
      </c>
      <c r="F212" s="294">
        <f t="shared" si="28"/>
        <v>39395279.984270714</v>
      </c>
      <c r="G212" s="294">
        <f t="shared" si="26"/>
        <v>255808.74336133149</v>
      </c>
      <c r="H212" s="294">
        <f t="shared" si="29"/>
        <v>139524.94994429214</v>
      </c>
      <c r="I212" s="294">
        <f t="shared" si="24"/>
        <v>116283.79341703936</v>
      </c>
      <c r="J212" s="295">
        <f t="shared" si="25"/>
        <v>39278996.190853678</v>
      </c>
      <c r="K212" s="302"/>
      <c r="L212" s="302"/>
      <c r="M212" s="302"/>
    </row>
    <row r="213" spans="2:13">
      <c r="B213" s="292"/>
      <c r="C213" s="292"/>
      <c r="D213" s="293">
        <f t="shared" si="27"/>
        <v>48092</v>
      </c>
      <c r="E213" s="291">
        <v>175</v>
      </c>
      <c r="F213" s="294">
        <f t="shared" si="28"/>
        <v>39278996.190853678</v>
      </c>
      <c r="G213" s="294">
        <f t="shared" si="26"/>
        <v>255808.74336133149</v>
      </c>
      <c r="H213" s="294">
        <f t="shared" si="29"/>
        <v>139113.11150927344</v>
      </c>
      <c r="I213" s="294">
        <f t="shared" si="24"/>
        <v>116695.63185205805</v>
      </c>
      <c r="J213" s="295">
        <f t="shared" si="25"/>
        <v>39162300.559001617</v>
      </c>
      <c r="K213" s="302"/>
      <c r="L213" s="302"/>
      <c r="M213" s="302"/>
    </row>
    <row r="214" spans="2:13">
      <c r="B214" s="292"/>
      <c r="C214" s="292"/>
      <c r="D214" s="293">
        <f t="shared" si="27"/>
        <v>48122</v>
      </c>
      <c r="E214" s="291">
        <v>176</v>
      </c>
      <c r="F214" s="294">
        <f t="shared" si="28"/>
        <v>39162300.559001617</v>
      </c>
      <c r="G214" s="294">
        <f t="shared" si="26"/>
        <v>255808.74336133149</v>
      </c>
      <c r="H214" s="294">
        <f t="shared" si="29"/>
        <v>138699.81447979741</v>
      </c>
      <c r="I214" s="294">
        <f t="shared" si="24"/>
        <v>117108.92888153408</v>
      </c>
      <c r="J214" s="295">
        <f t="shared" si="25"/>
        <v>39045191.630120084</v>
      </c>
      <c r="K214" s="302"/>
      <c r="L214" s="302"/>
      <c r="M214" s="302"/>
    </row>
    <row r="215" spans="2:13">
      <c r="B215" s="292"/>
      <c r="C215" s="292"/>
      <c r="D215" s="293">
        <f t="shared" si="27"/>
        <v>48153</v>
      </c>
      <c r="E215" s="291">
        <v>177</v>
      </c>
      <c r="F215" s="294">
        <f t="shared" si="28"/>
        <v>39045191.630120084</v>
      </c>
      <c r="G215" s="294">
        <f t="shared" si="26"/>
        <v>255808.74336133149</v>
      </c>
      <c r="H215" s="294">
        <f t="shared" si="29"/>
        <v>138285.05369000864</v>
      </c>
      <c r="I215" s="294">
        <f t="shared" si="24"/>
        <v>117523.68967132285</v>
      </c>
      <c r="J215" s="295">
        <f t="shared" si="25"/>
        <v>38927667.940448761</v>
      </c>
      <c r="K215" s="302"/>
      <c r="L215" s="302"/>
      <c r="M215" s="302"/>
    </row>
    <row r="216" spans="2:13">
      <c r="B216" s="292"/>
      <c r="C216" s="292"/>
      <c r="D216" s="293">
        <f t="shared" si="27"/>
        <v>48183</v>
      </c>
      <c r="E216" s="291">
        <v>178</v>
      </c>
      <c r="F216" s="294">
        <f t="shared" si="28"/>
        <v>38927667.940448761</v>
      </c>
      <c r="G216" s="294">
        <f t="shared" si="26"/>
        <v>255808.74336133149</v>
      </c>
      <c r="H216" s="294">
        <f t="shared" si="29"/>
        <v>137868.82395575603</v>
      </c>
      <c r="I216" s="294">
        <f t="shared" si="24"/>
        <v>117939.91940557546</v>
      </c>
      <c r="J216" s="295">
        <f t="shared" si="25"/>
        <v>38809728.021043189</v>
      </c>
      <c r="K216" s="302"/>
      <c r="L216" s="302"/>
      <c r="M216" s="302"/>
    </row>
    <row r="217" spans="2:13">
      <c r="B217" s="292"/>
      <c r="C217" s="292"/>
      <c r="D217" s="293">
        <f t="shared" si="27"/>
        <v>48214</v>
      </c>
      <c r="E217" s="291">
        <v>179</v>
      </c>
      <c r="F217" s="294">
        <f t="shared" si="28"/>
        <v>38809728.021043189</v>
      </c>
      <c r="G217" s="294">
        <f t="shared" si="26"/>
        <v>255808.74336133149</v>
      </c>
      <c r="H217" s="294">
        <f t="shared" si="29"/>
        <v>137451.12007452798</v>
      </c>
      <c r="I217" s="294">
        <f t="shared" si="24"/>
        <v>118357.62328680351</v>
      </c>
      <c r="J217" s="295">
        <f t="shared" si="25"/>
        <v>38691370.397756383</v>
      </c>
      <c r="K217" s="302"/>
      <c r="L217" s="302"/>
      <c r="M217" s="302"/>
    </row>
    <row r="218" spans="2:13">
      <c r="B218" s="292"/>
      <c r="C218" s="292"/>
      <c r="D218" s="293">
        <f t="shared" si="27"/>
        <v>48245</v>
      </c>
      <c r="E218" s="291">
        <v>180</v>
      </c>
      <c r="F218" s="294">
        <f t="shared" si="28"/>
        <v>38691370.397756383</v>
      </c>
      <c r="G218" s="294">
        <f t="shared" si="26"/>
        <v>255808.74336133149</v>
      </c>
      <c r="H218" s="294">
        <f t="shared" si="29"/>
        <v>137031.93682538721</v>
      </c>
      <c r="I218" s="294">
        <f t="shared" si="24"/>
        <v>118776.80653594428</v>
      </c>
      <c r="J218" s="301">
        <f t="shared" si="25"/>
        <v>38572593.591220438</v>
      </c>
      <c r="K218" s="302">
        <f>SUM(H207:H218)</f>
        <v>1671726.4452379213</v>
      </c>
      <c r="L218" s="302">
        <f>SUM(I207:I218)</f>
        <v>1397978.4750980567</v>
      </c>
      <c r="M218" s="302">
        <f>SUM(K218:L218)</f>
        <v>3069704.9203359783</v>
      </c>
    </row>
    <row r="219" spans="2:13">
      <c r="B219" s="303">
        <v>16</v>
      </c>
      <c r="C219" s="303">
        <f>C207+1</f>
        <v>2032</v>
      </c>
      <c r="D219" s="293">
        <f t="shared" si="27"/>
        <v>48274</v>
      </c>
      <c r="E219" s="304">
        <v>181</v>
      </c>
      <c r="F219" s="305">
        <f t="shared" si="28"/>
        <v>38572593.591220438</v>
      </c>
      <c r="G219" s="305">
        <f t="shared" si="26"/>
        <v>255808.74336133149</v>
      </c>
      <c r="H219" s="305">
        <f t="shared" si="29"/>
        <v>136611.26896890573</v>
      </c>
      <c r="I219" s="305">
        <f t="shared" si="24"/>
        <v>119197.47439242576</v>
      </c>
      <c r="J219" s="306">
        <f t="shared" si="25"/>
        <v>38453396.116828009</v>
      </c>
      <c r="K219" s="307"/>
      <c r="L219" s="307"/>
      <c r="M219" s="307"/>
    </row>
    <row r="220" spans="2:13">
      <c r="B220" s="292"/>
      <c r="C220" s="292"/>
      <c r="D220" s="293">
        <f t="shared" si="27"/>
        <v>48305</v>
      </c>
      <c r="E220" s="308">
        <v>182</v>
      </c>
      <c r="F220" s="309">
        <f t="shared" si="28"/>
        <v>38453396.116828009</v>
      </c>
      <c r="G220" s="309">
        <f t="shared" si="26"/>
        <v>255808.74336133149</v>
      </c>
      <c r="H220" s="309">
        <f t="shared" si="29"/>
        <v>136189.11124709921</v>
      </c>
      <c r="I220" s="309">
        <f t="shared" si="24"/>
        <v>119619.63211423228</v>
      </c>
      <c r="J220" s="310">
        <f t="shared" si="25"/>
        <v>38333776.484713778</v>
      </c>
      <c r="K220" s="311"/>
      <c r="L220" s="311"/>
      <c r="M220" s="311"/>
    </row>
    <row r="221" spans="2:13">
      <c r="B221" s="292"/>
      <c r="C221" s="292"/>
      <c r="D221" s="293">
        <f t="shared" si="27"/>
        <v>48335</v>
      </c>
      <c r="E221" s="308">
        <v>183</v>
      </c>
      <c r="F221" s="309">
        <f t="shared" si="28"/>
        <v>38333776.484713778</v>
      </c>
      <c r="G221" s="309">
        <f t="shared" si="26"/>
        <v>255808.74336133149</v>
      </c>
      <c r="H221" s="309">
        <f t="shared" si="29"/>
        <v>135765.45838336131</v>
      </c>
      <c r="I221" s="309">
        <f t="shared" si="24"/>
        <v>120043.28497797018</v>
      </c>
      <c r="J221" s="310">
        <f t="shared" si="25"/>
        <v>38213733.199735805</v>
      </c>
      <c r="K221" s="312"/>
      <c r="L221" s="312"/>
      <c r="M221" s="312"/>
    </row>
    <row r="222" spans="2:13">
      <c r="B222" s="292"/>
      <c r="C222" s="292"/>
      <c r="D222" s="293">
        <f t="shared" si="27"/>
        <v>48366</v>
      </c>
      <c r="E222" s="308">
        <v>184</v>
      </c>
      <c r="F222" s="309">
        <f t="shared" si="28"/>
        <v>38213733.199735805</v>
      </c>
      <c r="G222" s="309">
        <f t="shared" si="26"/>
        <v>255808.74336133149</v>
      </c>
      <c r="H222" s="309">
        <f t="shared" si="29"/>
        <v>135340.30508239765</v>
      </c>
      <c r="I222" s="309">
        <f t="shared" si="24"/>
        <v>120468.43827893384</v>
      </c>
      <c r="J222" s="310">
        <f t="shared" si="25"/>
        <v>38093264.76145687</v>
      </c>
      <c r="K222" s="312"/>
      <c r="L222" s="312"/>
      <c r="M222" s="312"/>
    </row>
    <row r="223" spans="2:13">
      <c r="B223" s="292"/>
      <c r="C223" s="292"/>
      <c r="D223" s="293">
        <f t="shared" si="27"/>
        <v>48396</v>
      </c>
      <c r="E223" s="308">
        <v>185</v>
      </c>
      <c r="F223" s="309">
        <f t="shared" si="28"/>
        <v>38093264.76145687</v>
      </c>
      <c r="G223" s="309">
        <f t="shared" si="26"/>
        <v>255808.74336133149</v>
      </c>
      <c r="H223" s="309">
        <f t="shared" si="29"/>
        <v>134913.64603015975</v>
      </c>
      <c r="I223" s="309">
        <f t="shared" si="24"/>
        <v>120895.09733117174</v>
      </c>
      <c r="J223" s="310">
        <f t="shared" si="25"/>
        <v>37972369.664125696</v>
      </c>
      <c r="K223" s="312"/>
      <c r="L223" s="312"/>
      <c r="M223" s="312"/>
    </row>
    <row r="224" spans="2:13">
      <c r="B224" s="292"/>
      <c r="C224" s="292"/>
      <c r="D224" s="293">
        <f t="shared" si="27"/>
        <v>48427</v>
      </c>
      <c r="E224" s="308">
        <v>186</v>
      </c>
      <c r="F224" s="309">
        <f t="shared" si="28"/>
        <v>37972369.664125696</v>
      </c>
      <c r="G224" s="309">
        <f t="shared" si="26"/>
        <v>255808.74336133149</v>
      </c>
      <c r="H224" s="309">
        <f t="shared" si="29"/>
        <v>134485.47589377852</v>
      </c>
      <c r="I224" s="309">
        <f t="shared" si="24"/>
        <v>121323.26746755297</v>
      </c>
      <c r="J224" s="310">
        <f t="shared" si="25"/>
        <v>37851046.396658145</v>
      </c>
      <c r="K224" s="312"/>
      <c r="L224" s="312"/>
      <c r="M224" s="312"/>
    </row>
    <row r="225" spans="2:13">
      <c r="B225" s="292"/>
      <c r="C225" s="292"/>
      <c r="D225" s="293">
        <f t="shared" si="27"/>
        <v>48458</v>
      </c>
      <c r="E225" s="308">
        <v>187</v>
      </c>
      <c r="F225" s="309">
        <f t="shared" si="28"/>
        <v>37851046.396658145</v>
      </c>
      <c r="G225" s="309">
        <f t="shared" si="26"/>
        <v>255808.74336133149</v>
      </c>
      <c r="H225" s="309">
        <f t="shared" si="29"/>
        <v>134055.78932149761</v>
      </c>
      <c r="I225" s="309">
        <f t="shared" si="24"/>
        <v>121752.95403983389</v>
      </c>
      <c r="J225" s="310">
        <f t="shared" si="25"/>
        <v>37729293.44261831</v>
      </c>
      <c r="K225" s="312"/>
      <c r="L225" s="312"/>
      <c r="M225" s="312"/>
    </row>
    <row r="226" spans="2:13">
      <c r="B226" s="292"/>
      <c r="C226" s="292"/>
      <c r="D226" s="293">
        <f t="shared" si="27"/>
        <v>48488</v>
      </c>
      <c r="E226" s="308">
        <v>188</v>
      </c>
      <c r="F226" s="309">
        <f t="shared" si="28"/>
        <v>37729293.44261831</v>
      </c>
      <c r="G226" s="309">
        <f t="shared" si="26"/>
        <v>255808.74336133149</v>
      </c>
      <c r="H226" s="309">
        <f t="shared" si="29"/>
        <v>133624.58094260652</v>
      </c>
      <c r="I226" s="309">
        <f t="shared" si="24"/>
        <v>122184.16241872497</v>
      </c>
      <c r="J226" s="310">
        <f t="shared" si="25"/>
        <v>37607109.280199587</v>
      </c>
      <c r="K226" s="312"/>
      <c r="L226" s="312"/>
      <c r="M226" s="312"/>
    </row>
    <row r="227" spans="2:13">
      <c r="B227" s="292"/>
      <c r="C227" s="292"/>
      <c r="D227" s="293">
        <f t="shared" si="27"/>
        <v>48519</v>
      </c>
      <c r="E227" s="308">
        <v>189</v>
      </c>
      <c r="F227" s="309">
        <f t="shared" si="28"/>
        <v>37607109.280199587</v>
      </c>
      <c r="G227" s="309">
        <f t="shared" si="26"/>
        <v>255808.74336133149</v>
      </c>
      <c r="H227" s="309">
        <f t="shared" si="29"/>
        <v>133191.84536737355</v>
      </c>
      <c r="I227" s="309">
        <f t="shared" si="24"/>
        <v>122616.89799395794</v>
      </c>
      <c r="J227" s="310">
        <f t="shared" si="25"/>
        <v>37484492.382205628</v>
      </c>
      <c r="K227" s="312"/>
      <c r="L227" s="312"/>
      <c r="M227" s="312"/>
    </row>
    <row r="228" spans="2:13">
      <c r="B228" s="292"/>
      <c r="C228" s="292"/>
      <c r="D228" s="293">
        <f t="shared" si="27"/>
        <v>48549</v>
      </c>
      <c r="E228" s="308">
        <v>190</v>
      </c>
      <c r="F228" s="309">
        <f t="shared" si="28"/>
        <v>37484492.382205628</v>
      </c>
      <c r="G228" s="309">
        <f t="shared" si="26"/>
        <v>255808.74336133149</v>
      </c>
      <c r="H228" s="309">
        <f t="shared" si="29"/>
        <v>132757.57718697828</v>
      </c>
      <c r="I228" s="309">
        <f t="shared" si="24"/>
        <v>123051.16617435322</v>
      </c>
      <c r="J228" s="310">
        <f t="shared" si="25"/>
        <v>37361441.216031276</v>
      </c>
      <c r="K228" s="312"/>
      <c r="L228" s="312"/>
      <c r="M228" s="312"/>
    </row>
    <row r="229" spans="2:13">
      <c r="B229" s="292"/>
      <c r="C229" s="292"/>
      <c r="D229" s="293">
        <f t="shared" si="27"/>
        <v>48580</v>
      </c>
      <c r="E229" s="308">
        <v>191</v>
      </c>
      <c r="F229" s="309">
        <f t="shared" si="28"/>
        <v>37361441.216031276</v>
      </c>
      <c r="G229" s="309">
        <f t="shared" si="26"/>
        <v>255808.74336133149</v>
      </c>
      <c r="H229" s="309">
        <f t="shared" si="29"/>
        <v>132321.7709734441</v>
      </c>
      <c r="I229" s="309">
        <f t="shared" si="24"/>
        <v>123486.97238788739</v>
      </c>
      <c r="J229" s="310">
        <f t="shared" si="25"/>
        <v>37237954.243643388</v>
      </c>
      <c r="K229" s="312"/>
      <c r="L229" s="312"/>
      <c r="M229" s="312"/>
    </row>
    <row r="230" spans="2:13">
      <c r="B230" s="292"/>
      <c r="C230" s="292"/>
      <c r="D230" s="293">
        <f t="shared" si="27"/>
        <v>48611</v>
      </c>
      <c r="E230" s="314">
        <v>192</v>
      </c>
      <c r="F230" s="315">
        <f t="shared" si="28"/>
        <v>37237954.243643388</v>
      </c>
      <c r="G230" s="315">
        <f t="shared" si="26"/>
        <v>255808.74336133149</v>
      </c>
      <c r="H230" s="315">
        <f t="shared" si="29"/>
        <v>131884.42127957035</v>
      </c>
      <c r="I230" s="315">
        <f t="shared" si="24"/>
        <v>123924.32208176114</v>
      </c>
      <c r="J230" s="316">
        <f t="shared" si="25"/>
        <v>37114029.921561629</v>
      </c>
      <c r="K230" s="317">
        <f>SUM(H219:H230)</f>
        <v>1611141.2506771728</v>
      </c>
      <c r="L230" s="317">
        <f>SUM(I219:I230)</f>
        <v>1458563.6696588052</v>
      </c>
      <c r="M230" s="317">
        <f>SUM(K230:L230)</f>
        <v>3069704.9203359783</v>
      </c>
    </row>
    <row r="231" spans="2:13">
      <c r="B231" s="303">
        <v>17</v>
      </c>
      <c r="C231" s="303">
        <f>C219+1</f>
        <v>2033</v>
      </c>
      <c r="D231" s="293">
        <f t="shared" si="27"/>
        <v>48639</v>
      </c>
      <c r="E231" s="321">
        <v>193</v>
      </c>
      <c r="F231" s="322">
        <f t="shared" si="28"/>
        <v>37114029.921561629</v>
      </c>
      <c r="G231" s="322">
        <f t="shared" si="26"/>
        <v>255808.74336133149</v>
      </c>
      <c r="H231" s="322">
        <f t="shared" si="29"/>
        <v>131445.52263886412</v>
      </c>
      <c r="I231" s="322">
        <f t="shared" ref="I231:I294" si="30">IF(E231&lt;=$I$9,0,$C$9-H231)</f>
        <v>124363.22072246738</v>
      </c>
      <c r="J231" s="323">
        <f t="shared" ref="J231:J294" si="31">F231-I231</f>
        <v>36989666.700839162</v>
      </c>
      <c r="K231" s="324"/>
      <c r="L231" s="324"/>
      <c r="M231" s="324"/>
    </row>
    <row r="232" spans="2:13">
      <c r="B232" s="292"/>
      <c r="C232" s="292"/>
      <c r="D232" s="293">
        <f t="shared" si="27"/>
        <v>48670</v>
      </c>
      <c r="E232" s="291">
        <v>194</v>
      </c>
      <c r="F232" s="294">
        <f t="shared" si="28"/>
        <v>36989666.700839162</v>
      </c>
      <c r="G232" s="294">
        <f t="shared" ref="G232:G295" si="32">H232+I232</f>
        <v>255808.74336133149</v>
      </c>
      <c r="H232" s="294">
        <f t="shared" si="29"/>
        <v>131005.06956547205</v>
      </c>
      <c r="I232" s="294">
        <f t="shared" si="30"/>
        <v>124803.67379585945</v>
      </c>
      <c r="J232" s="295">
        <f t="shared" si="31"/>
        <v>36864863.027043305</v>
      </c>
      <c r="K232" s="302"/>
      <c r="L232" s="302"/>
      <c r="M232" s="302"/>
    </row>
    <row r="233" spans="2:13">
      <c r="B233" s="292"/>
      <c r="C233" s="292"/>
      <c r="D233" s="293">
        <f t="shared" ref="D233:D296" si="33">DATE(YEAR(D232),MONTH(D232)+1,1)</f>
        <v>48700</v>
      </c>
      <c r="E233" s="291">
        <v>195</v>
      </c>
      <c r="F233" s="294">
        <f t="shared" ref="F233:F296" si="34">J232</f>
        <v>36864863.027043305</v>
      </c>
      <c r="G233" s="294">
        <f t="shared" si="32"/>
        <v>255808.74336133149</v>
      </c>
      <c r="H233" s="294">
        <f t="shared" ref="H233:H296" si="35">$C$6*F233</f>
        <v>130563.05655411171</v>
      </c>
      <c r="I233" s="294">
        <f t="shared" si="30"/>
        <v>125245.68680721978</v>
      </c>
      <c r="J233" s="295">
        <f t="shared" si="31"/>
        <v>36739617.340236083</v>
      </c>
      <c r="K233" s="302"/>
      <c r="L233" s="302"/>
      <c r="M233" s="302"/>
    </row>
    <row r="234" spans="2:13">
      <c r="B234" s="292"/>
      <c r="C234" s="292"/>
      <c r="D234" s="293">
        <f t="shared" si="33"/>
        <v>48731</v>
      </c>
      <c r="E234" s="291">
        <v>196</v>
      </c>
      <c r="F234" s="294">
        <f t="shared" si="34"/>
        <v>36739617.340236083</v>
      </c>
      <c r="G234" s="294">
        <f t="shared" si="32"/>
        <v>255808.74336133149</v>
      </c>
      <c r="H234" s="294">
        <f t="shared" si="35"/>
        <v>130119.47808000281</v>
      </c>
      <c r="I234" s="294">
        <f t="shared" si="30"/>
        <v>125689.26528132868</v>
      </c>
      <c r="J234" s="295">
        <f t="shared" si="31"/>
        <v>36613928.074954756</v>
      </c>
      <c r="K234" s="302"/>
      <c r="L234" s="302"/>
      <c r="M234" s="302"/>
    </row>
    <row r="235" spans="2:13">
      <c r="B235" s="292"/>
      <c r="C235" s="292"/>
      <c r="D235" s="293">
        <f t="shared" si="33"/>
        <v>48761</v>
      </c>
      <c r="E235" s="291">
        <v>197</v>
      </c>
      <c r="F235" s="294">
        <f t="shared" si="34"/>
        <v>36613928.074954756</v>
      </c>
      <c r="G235" s="294">
        <f t="shared" si="32"/>
        <v>255808.74336133149</v>
      </c>
      <c r="H235" s="294">
        <f t="shared" si="35"/>
        <v>129674.32859879811</v>
      </c>
      <c r="I235" s="294">
        <f t="shared" si="30"/>
        <v>126134.41476253339</v>
      </c>
      <c r="J235" s="295">
        <f t="shared" si="31"/>
        <v>36487793.660192221</v>
      </c>
      <c r="K235" s="302"/>
      <c r="L235" s="302"/>
      <c r="M235" s="302"/>
    </row>
    <row r="236" spans="2:13">
      <c r="B236" s="292"/>
      <c r="C236" s="292"/>
      <c r="D236" s="293">
        <f t="shared" si="33"/>
        <v>48792</v>
      </c>
      <c r="E236" s="291">
        <v>198</v>
      </c>
      <c r="F236" s="294">
        <f t="shared" si="34"/>
        <v>36487793.660192221</v>
      </c>
      <c r="G236" s="294">
        <f t="shared" si="32"/>
        <v>255808.74336133149</v>
      </c>
      <c r="H236" s="294">
        <f t="shared" si="35"/>
        <v>129227.60254651413</v>
      </c>
      <c r="I236" s="294">
        <f t="shared" si="30"/>
        <v>126581.14081481737</v>
      </c>
      <c r="J236" s="295">
        <f t="shared" si="31"/>
        <v>36361212.519377403</v>
      </c>
      <c r="K236" s="302"/>
      <c r="L236" s="302"/>
      <c r="M236" s="302"/>
    </row>
    <row r="237" spans="2:13">
      <c r="B237" s="292"/>
      <c r="C237" s="292"/>
      <c r="D237" s="293">
        <f t="shared" si="33"/>
        <v>48823</v>
      </c>
      <c r="E237" s="291">
        <v>199</v>
      </c>
      <c r="F237" s="294">
        <f t="shared" si="34"/>
        <v>36361212.519377403</v>
      </c>
      <c r="G237" s="294">
        <f t="shared" si="32"/>
        <v>255808.74336133149</v>
      </c>
      <c r="H237" s="294">
        <f t="shared" si="35"/>
        <v>128779.29433946164</v>
      </c>
      <c r="I237" s="294">
        <f t="shared" si="30"/>
        <v>127029.44902186985</v>
      </c>
      <c r="J237" s="295">
        <f t="shared" si="31"/>
        <v>36234183.070355535</v>
      </c>
      <c r="K237" s="302"/>
      <c r="L237" s="302"/>
      <c r="M237" s="302"/>
    </row>
    <row r="238" spans="2:13">
      <c r="B238" s="292"/>
      <c r="C238" s="292"/>
      <c r="D238" s="293">
        <f t="shared" si="33"/>
        <v>48853</v>
      </c>
      <c r="E238" s="291">
        <v>200</v>
      </c>
      <c r="F238" s="294">
        <f t="shared" si="34"/>
        <v>36234183.070355535</v>
      </c>
      <c r="G238" s="294">
        <f t="shared" si="32"/>
        <v>255808.74336133149</v>
      </c>
      <c r="H238" s="294">
        <f t="shared" si="35"/>
        <v>128329.39837417586</v>
      </c>
      <c r="I238" s="294">
        <f t="shared" si="30"/>
        <v>127479.34498715564</v>
      </c>
      <c r="J238" s="295">
        <f t="shared" si="31"/>
        <v>36106703.725368381</v>
      </c>
      <c r="K238" s="302"/>
      <c r="L238" s="302"/>
      <c r="M238" s="302"/>
    </row>
    <row r="239" spans="2:13">
      <c r="B239" s="292"/>
      <c r="C239" s="292"/>
      <c r="D239" s="293">
        <f t="shared" si="33"/>
        <v>48884</v>
      </c>
      <c r="E239" s="291">
        <v>201</v>
      </c>
      <c r="F239" s="294">
        <f t="shared" si="34"/>
        <v>36106703.725368381</v>
      </c>
      <c r="G239" s="294">
        <f t="shared" si="32"/>
        <v>255808.74336133149</v>
      </c>
      <c r="H239" s="294">
        <f t="shared" si="35"/>
        <v>127877.90902734635</v>
      </c>
      <c r="I239" s="294">
        <f t="shared" si="30"/>
        <v>127930.83433398514</v>
      </c>
      <c r="J239" s="295">
        <f t="shared" si="31"/>
        <v>35978772.891034395</v>
      </c>
      <c r="K239" s="302"/>
      <c r="L239" s="302"/>
      <c r="M239" s="302"/>
    </row>
    <row r="240" spans="2:13">
      <c r="B240" s="292"/>
      <c r="C240" s="292"/>
      <c r="D240" s="293">
        <f t="shared" si="33"/>
        <v>48914</v>
      </c>
      <c r="E240" s="291">
        <v>202</v>
      </c>
      <c r="F240" s="294">
        <f t="shared" si="34"/>
        <v>35978772.891034395</v>
      </c>
      <c r="G240" s="294">
        <f t="shared" si="32"/>
        <v>255808.74336133149</v>
      </c>
      <c r="H240" s="294">
        <f t="shared" si="35"/>
        <v>127424.82065574682</v>
      </c>
      <c r="I240" s="294">
        <f t="shared" si="30"/>
        <v>128383.92270558467</v>
      </c>
      <c r="J240" s="295">
        <f t="shared" si="31"/>
        <v>35850388.968328811</v>
      </c>
      <c r="K240" s="302"/>
      <c r="L240" s="302"/>
      <c r="M240" s="302"/>
    </row>
    <row r="241" spans="2:13">
      <c r="B241" s="292"/>
      <c r="C241" s="292"/>
      <c r="D241" s="293">
        <f t="shared" si="33"/>
        <v>48945</v>
      </c>
      <c r="E241" s="291">
        <v>203</v>
      </c>
      <c r="F241" s="294">
        <f t="shared" si="34"/>
        <v>35850388.968328811</v>
      </c>
      <c r="G241" s="294">
        <f t="shared" si="32"/>
        <v>255808.74336133149</v>
      </c>
      <c r="H241" s="294">
        <f t="shared" si="35"/>
        <v>126970.12759616454</v>
      </c>
      <c r="I241" s="294">
        <f t="shared" si="30"/>
        <v>128838.61576516695</v>
      </c>
      <c r="J241" s="295">
        <f t="shared" si="31"/>
        <v>35721550.352563642</v>
      </c>
      <c r="K241" s="302"/>
      <c r="L241" s="302"/>
      <c r="M241" s="302"/>
    </row>
    <row r="242" spans="2:13">
      <c r="B242" s="292"/>
      <c r="C242" s="292"/>
      <c r="D242" s="293">
        <f t="shared" si="33"/>
        <v>48976</v>
      </c>
      <c r="E242" s="291">
        <v>204</v>
      </c>
      <c r="F242" s="294">
        <f t="shared" si="34"/>
        <v>35721550.352563642</v>
      </c>
      <c r="G242" s="294">
        <f t="shared" si="32"/>
        <v>255808.74336133149</v>
      </c>
      <c r="H242" s="294">
        <f t="shared" si="35"/>
        <v>126513.82416532957</v>
      </c>
      <c r="I242" s="294">
        <f t="shared" si="30"/>
        <v>129294.91919600192</v>
      </c>
      <c r="J242" s="301">
        <f t="shared" si="31"/>
        <v>35592255.43336764</v>
      </c>
      <c r="K242" s="302">
        <f>SUM(H231:H242)</f>
        <v>1547930.4321419878</v>
      </c>
      <c r="L242" s="302">
        <f>SUM(I231:I242)</f>
        <v>1521774.4881939902</v>
      </c>
      <c r="M242" s="302">
        <f>SUM(K242:L242)</f>
        <v>3069704.9203359783</v>
      </c>
    </row>
    <row r="243" spans="2:13">
      <c r="B243" s="303">
        <v>18</v>
      </c>
      <c r="C243" s="303">
        <f>C231+1</f>
        <v>2034</v>
      </c>
      <c r="D243" s="293">
        <f t="shared" si="33"/>
        <v>49004</v>
      </c>
      <c r="E243" s="304">
        <v>205</v>
      </c>
      <c r="F243" s="305">
        <f t="shared" si="34"/>
        <v>35592255.43336764</v>
      </c>
      <c r="G243" s="305">
        <f t="shared" si="32"/>
        <v>255808.74336133149</v>
      </c>
      <c r="H243" s="305">
        <f t="shared" si="35"/>
        <v>126055.90465984373</v>
      </c>
      <c r="I243" s="305">
        <f t="shared" si="30"/>
        <v>129752.83870148777</v>
      </c>
      <c r="J243" s="306">
        <f t="shared" si="31"/>
        <v>35462502.594666153</v>
      </c>
      <c r="K243" s="307"/>
      <c r="L243" s="307"/>
      <c r="M243" s="307"/>
    </row>
    <row r="244" spans="2:13">
      <c r="B244" s="292"/>
      <c r="C244" s="292"/>
      <c r="D244" s="293">
        <f t="shared" si="33"/>
        <v>49035</v>
      </c>
      <c r="E244" s="308">
        <v>206</v>
      </c>
      <c r="F244" s="309">
        <f t="shared" si="34"/>
        <v>35462502.594666153</v>
      </c>
      <c r="G244" s="309">
        <f t="shared" si="32"/>
        <v>255808.74336133149</v>
      </c>
      <c r="H244" s="309">
        <f t="shared" si="35"/>
        <v>125596.3633561093</v>
      </c>
      <c r="I244" s="309">
        <f t="shared" si="30"/>
        <v>130212.38000522219</v>
      </c>
      <c r="J244" s="310">
        <f t="shared" si="31"/>
        <v>35332290.214660928</v>
      </c>
      <c r="K244" s="311"/>
      <c r="L244" s="311"/>
      <c r="M244" s="311"/>
    </row>
    <row r="245" spans="2:13">
      <c r="B245" s="292"/>
      <c r="C245" s="292"/>
      <c r="D245" s="293">
        <f t="shared" si="33"/>
        <v>49065</v>
      </c>
      <c r="E245" s="308">
        <v>207</v>
      </c>
      <c r="F245" s="309">
        <f t="shared" si="34"/>
        <v>35332290.214660928</v>
      </c>
      <c r="G245" s="309">
        <f t="shared" si="32"/>
        <v>255808.74336133149</v>
      </c>
      <c r="H245" s="309">
        <f t="shared" si="35"/>
        <v>125135.19451025747</v>
      </c>
      <c r="I245" s="309">
        <f t="shared" si="30"/>
        <v>130673.54885107403</v>
      </c>
      <c r="J245" s="310">
        <f t="shared" si="31"/>
        <v>35201616.665809855</v>
      </c>
      <c r="K245" s="312"/>
      <c r="L245" s="312"/>
      <c r="M245" s="312"/>
    </row>
    <row r="246" spans="2:13">
      <c r="B246" s="292"/>
      <c r="C246" s="292"/>
      <c r="D246" s="293">
        <f t="shared" si="33"/>
        <v>49096</v>
      </c>
      <c r="E246" s="308">
        <v>208</v>
      </c>
      <c r="F246" s="309">
        <f t="shared" si="34"/>
        <v>35201616.665809855</v>
      </c>
      <c r="G246" s="309">
        <f t="shared" si="32"/>
        <v>255808.74336133149</v>
      </c>
      <c r="H246" s="309">
        <f t="shared" si="35"/>
        <v>124672.39235807658</v>
      </c>
      <c r="I246" s="309">
        <f t="shared" si="30"/>
        <v>131136.35100325491</v>
      </c>
      <c r="J246" s="310">
        <f t="shared" si="31"/>
        <v>35070480.314806603</v>
      </c>
      <c r="K246" s="312"/>
      <c r="L246" s="312"/>
      <c r="M246" s="312"/>
    </row>
    <row r="247" spans="2:13">
      <c r="B247" s="292"/>
      <c r="C247" s="292"/>
      <c r="D247" s="293">
        <f t="shared" si="33"/>
        <v>49126</v>
      </c>
      <c r="E247" s="308">
        <v>209</v>
      </c>
      <c r="F247" s="309">
        <f t="shared" si="34"/>
        <v>35070480.314806603</v>
      </c>
      <c r="G247" s="309">
        <f t="shared" si="32"/>
        <v>255808.74336133146</v>
      </c>
      <c r="H247" s="309">
        <f t="shared" si="35"/>
        <v>124207.95111494006</v>
      </c>
      <c r="I247" s="309">
        <f t="shared" si="30"/>
        <v>131600.79224639141</v>
      </c>
      <c r="J247" s="310">
        <f t="shared" si="31"/>
        <v>34938879.522560209</v>
      </c>
      <c r="K247" s="312"/>
      <c r="L247" s="312"/>
      <c r="M247" s="312"/>
    </row>
    <row r="248" spans="2:13">
      <c r="B248" s="292"/>
      <c r="C248" s="292"/>
      <c r="D248" s="293">
        <f t="shared" si="33"/>
        <v>49157</v>
      </c>
      <c r="E248" s="308">
        <v>210</v>
      </c>
      <c r="F248" s="309">
        <f t="shared" si="34"/>
        <v>34938879.522560209</v>
      </c>
      <c r="G248" s="309">
        <f t="shared" si="32"/>
        <v>255808.74336133152</v>
      </c>
      <c r="H248" s="309">
        <f t="shared" si="35"/>
        <v>123741.86497573408</v>
      </c>
      <c r="I248" s="309">
        <f t="shared" si="30"/>
        <v>132066.87838559743</v>
      </c>
      <c r="J248" s="310">
        <f t="shared" si="31"/>
        <v>34806812.644174613</v>
      </c>
      <c r="K248" s="312"/>
      <c r="L248" s="312"/>
      <c r="M248" s="312"/>
    </row>
    <row r="249" spans="2:13">
      <c r="B249" s="292"/>
      <c r="C249" s="292"/>
      <c r="D249" s="293">
        <f t="shared" si="33"/>
        <v>49188</v>
      </c>
      <c r="E249" s="308">
        <v>211</v>
      </c>
      <c r="F249" s="309">
        <f t="shared" si="34"/>
        <v>34806812.644174613</v>
      </c>
      <c r="G249" s="309">
        <f t="shared" si="32"/>
        <v>255808.74336133149</v>
      </c>
      <c r="H249" s="309">
        <f t="shared" si="35"/>
        <v>123274.1281147851</v>
      </c>
      <c r="I249" s="309">
        <f t="shared" si="30"/>
        <v>132534.6152465464</v>
      </c>
      <c r="J249" s="310">
        <f t="shared" si="31"/>
        <v>34674278.028928064</v>
      </c>
      <c r="K249" s="312"/>
      <c r="L249" s="312"/>
      <c r="M249" s="312"/>
    </row>
    <row r="250" spans="2:13">
      <c r="B250" s="292"/>
      <c r="C250" s="292"/>
      <c r="D250" s="293">
        <f t="shared" si="33"/>
        <v>49218</v>
      </c>
      <c r="E250" s="308">
        <v>212</v>
      </c>
      <c r="F250" s="309">
        <f t="shared" si="34"/>
        <v>34674278.028928064</v>
      </c>
      <c r="G250" s="309">
        <f t="shared" si="32"/>
        <v>255808.74336133146</v>
      </c>
      <c r="H250" s="309">
        <f t="shared" si="35"/>
        <v>122804.7346857869</v>
      </c>
      <c r="I250" s="309">
        <f t="shared" si="30"/>
        <v>133004.00867554458</v>
      </c>
      <c r="J250" s="310">
        <f t="shared" si="31"/>
        <v>34541274.020252518</v>
      </c>
      <c r="K250" s="312"/>
      <c r="L250" s="312"/>
      <c r="M250" s="312"/>
    </row>
    <row r="251" spans="2:13">
      <c r="B251" s="292"/>
      <c r="C251" s="292"/>
      <c r="D251" s="293">
        <f t="shared" si="33"/>
        <v>49249</v>
      </c>
      <c r="E251" s="308">
        <v>213</v>
      </c>
      <c r="F251" s="309">
        <f t="shared" si="34"/>
        <v>34541274.020252518</v>
      </c>
      <c r="G251" s="309">
        <f t="shared" si="32"/>
        <v>255808.74336133152</v>
      </c>
      <c r="H251" s="309">
        <f t="shared" si="35"/>
        <v>122333.67882172768</v>
      </c>
      <c r="I251" s="309">
        <f t="shared" si="30"/>
        <v>133475.06453960383</v>
      </c>
      <c r="J251" s="310">
        <f t="shared" si="31"/>
        <v>34407798.955712914</v>
      </c>
      <c r="K251" s="312"/>
      <c r="L251" s="312"/>
      <c r="M251" s="312"/>
    </row>
    <row r="252" spans="2:13">
      <c r="B252" s="292"/>
      <c r="C252" s="292"/>
      <c r="D252" s="293">
        <f t="shared" si="33"/>
        <v>49279</v>
      </c>
      <c r="E252" s="308">
        <v>214</v>
      </c>
      <c r="F252" s="309">
        <f t="shared" si="34"/>
        <v>34407798.955712914</v>
      </c>
      <c r="G252" s="309">
        <f t="shared" si="32"/>
        <v>255808.74336133146</v>
      </c>
      <c r="H252" s="309">
        <f t="shared" si="35"/>
        <v>121860.95463481657</v>
      </c>
      <c r="I252" s="309">
        <f t="shared" si="30"/>
        <v>133947.7887265149</v>
      </c>
      <c r="J252" s="310">
        <f t="shared" si="31"/>
        <v>34273851.166986398</v>
      </c>
      <c r="K252" s="312"/>
      <c r="L252" s="312"/>
      <c r="M252" s="312"/>
    </row>
    <row r="253" spans="2:13">
      <c r="B253" s="292"/>
      <c r="C253" s="292"/>
      <c r="D253" s="293">
        <f t="shared" si="33"/>
        <v>49310</v>
      </c>
      <c r="E253" s="308">
        <v>215</v>
      </c>
      <c r="F253" s="309">
        <f t="shared" si="34"/>
        <v>34273851.166986398</v>
      </c>
      <c r="G253" s="309">
        <f t="shared" si="32"/>
        <v>255808.74336133152</v>
      </c>
      <c r="H253" s="309">
        <f t="shared" si="35"/>
        <v>121386.55621641017</v>
      </c>
      <c r="I253" s="309">
        <f t="shared" si="30"/>
        <v>134422.18714492134</v>
      </c>
      <c r="J253" s="310">
        <f t="shared" si="31"/>
        <v>34139428.979841478</v>
      </c>
      <c r="K253" s="312"/>
      <c r="L253" s="312"/>
      <c r="M253" s="312"/>
    </row>
    <row r="254" spans="2:13">
      <c r="B254" s="292"/>
      <c r="C254" s="292"/>
      <c r="D254" s="293">
        <f t="shared" si="33"/>
        <v>49341</v>
      </c>
      <c r="E254" s="314">
        <v>216</v>
      </c>
      <c r="F254" s="315">
        <f t="shared" si="34"/>
        <v>34139428.979841478</v>
      </c>
      <c r="G254" s="315">
        <f t="shared" si="32"/>
        <v>255808.74336133146</v>
      </c>
      <c r="H254" s="315">
        <f t="shared" si="35"/>
        <v>120910.47763693858</v>
      </c>
      <c r="I254" s="315">
        <f t="shared" si="30"/>
        <v>134898.2657243929</v>
      </c>
      <c r="J254" s="316">
        <f t="shared" si="31"/>
        <v>34004530.714117087</v>
      </c>
      <c r="K254" s="317">
        <f>SUM(H243:H254)</f>
        <v>1481980.2010854261</v>
      </c>
      <c r="L254" s="317">
        <f>SUM(I243:I254)</f>
        <v>1587724.7192505517</v>
      </c>
      <c r="M254" s="317">
        <f>SUM(K254:L254)</f>
        <v>3069704.9203359778</v>
      </c>
    </row>
    <row r="255" spans="2:13">
      <c r="B255" s="303">
        <v>19</v>
      </c>
      <c r="C255" s="303">
        <f>C243+1</f>
        <v>2035</v>
      </c>
      <c r="D255" s="293">
        <f t="shared" si="33"/>
        <v>49369</v>
      </c>
      <c r="E255" s="321">
        <v>217</v>
      </c>
      <c r="F255" s="322">
        <f t="shared" si="34"/>
        <v>34004530.714117087</v>
      </c>
      <c r="G255" s="322">
        <f t="shared" si="32"/>
        <v>255808.74336133149</v>
      </c>
      <c r="H255" s="322">
        <f t="shared" si="35"/>
        <v>120432.71294583136</v>
      </c>
      <c r="I255" s="322">
        <f t="shared" si="30"/>
        <v>135376.03041550014</v>
      </c>
      <c r="J255" s="323">
        <f t="shared" si="31"/>
        <v>33869154.68370159</v>
      </c>
      <c r="K255" s="324"/>
      <c r="L255" s="324"/>
      <c r="M255" s="324"/>
    </row>
    <row r="256" spans="2:13">
      <c r="B256" s="292"/>
      <c r="C256" s="292"/>
      <c r="D256" s="293">
        <f t="shared" si="33"/>
        <v>49400</v>
      </c>
      <c r="E256" s="291">
        <v>218</v>
      </c>
      <c r="F256" s="294">
        <f t="shared" si="34"/>
        <v>33869154.68370159</v>
      </c>
      <c r="G256" s="294">
        <f t="shared" si="32"/>
        <v>255808.74336133152</v>
      </c>
      <c r="H256" s="294">
        <f t="shared" si="35"/>
        <v>119953.25617144314</v>
      </c>
      <c r="I256" s="294">
        <f t="shared" si="30"/>
        <v>135855.48718988837</v>
      </c>
      <c r="J256" s="295">
        <f t="shared" si="31"/>
        <v>33733299.196511701</v>
      </c>
      <c r="K256" s="302"/>
      <c r="L256" s="302"/>
      <c r="M256" s="302"/>
    </row>
    <row r="257" spans="2:13">
      <c r="B257" s="292"/>
      <c r="C257" s="292"/>
      <c r="D257" s="293">
        <f t="shared" si="33"/>
        <v>49430</v>
      </c>
      <c r="E257" s="291">
        <v>219</v>
      </c>
      <c r="F257" s="294">
        <f t="shared" si="34"/>
        <v>33733299.196511701</v>
      </c>
      <c r="G257" s="294">
        <f t="shared" si="32"/>
        <v>255808.74336133149</v>
      </c>
      <c r="H257" s="294">
        <f t="shared" si="35"/>
        <v>119472.10132097895</v>
      </c>
      <c r="I257" s="294">
        <f t="shared" si="30"/>
        <v>136336.64204035254</v>
      </c>
      <c r="J257" s="295">
        <f t="shared" si="31"/>
        <v>33596962.554471351</v>
      </c>
      <c r="K257" s="302"/>
      <c r="L257" s="302"/>
      <c r="M257" s="302"/>
    </row>
    <row r="258" spans="2:13">
      <c r="B258" s="292"/>
      <c r="C258" s="292"/>
      <c r="D258" s="293">
        <f t="shared" si="33"/>
        <v>49461</v>
      </c>
      <c r="E258" s="291">
        <v>220</v>
      </c>
      <c r="F258" s="294">
        <f t="shared" si="34"/>
        <v>33596962.554471351</v>
      </c>
      <c r="G258" s="294">
        <f t="shared" si="32"/>
        <v>255808.74336133152</v>
      </c>
      <c r="H258" s="294">
        <f t="shared" si="35"/>
        <v>118989.24238041938</v>
      </c>
      <c r="I258" s="294">
        <f t="shared" si="30"/>
        <v>136819.50098091213</v>
      </c>
      <c r="J258" s="295">
        <f t="shared" si="31"/>
        <v>33460143.053490438</v>
      </c>
      <c r="K258" s="302"/>
      <c r="L258" s="302"/>
      <c r="M258" s="302"/>
    </row>
    <row r="259" spans="2:13">
      <c r="B259" s="292"/>
      <c r="C259" s="292"/>
      <c r="D259" s="293">
        <f t="shared" si="33"/>
        <v>49491</v>
      </c>
      <c r="E259" s="291">
        <v>221</v>
      </c>
      <c r="F259" s="294">
        <f t="shared" si="34"/>
        <v>33460143.053490438</v>
      </c>
      <c r="G259" s="294">
        <f t="shared" si="32"/>
        <v>255808.74336133149</v>
      </c>
      <c r="H259" s="294">
        <f t="shared" si="35"/>
        <v>118504.6733144453</v>
      </c>
      <c r="I259" s="294">
        <f t="shared" si="30"/>
        <v>137304.07004688619</v>
      </c>
      <c r="J259" s="295">
        <f t="shared" si="31"/>
        <v>33322838.983443551</v>
      </c>
      <c r="K259" s="302"/>
      <c r="L259" s="302"/>
      <c r="M259" s="302"/>
    </row>
    <row r="260" spans="2:13">
      <c r="B260" s="292"/>
      <c r="C260" s="292"/>
      <c r="D260" s="293">
        <f t="shared" si="33"/>
        <v>49522</v>
      </c>
      <c r="E260" s="291">
        <v>222</v>
      </c>
      <c r="F260" s="294">
        <f t="shared" si="34"/>
        <v>33322838.983443551</v>
      </c>
      <c r="G260" s="294">
        <f t="shared" si="32"/>
        <v>255808.74336133149</v>
      </c>
      <c r="H260" s="294">
        <f t="shared" si="35"/>
        <v>118018.38806636259</v>
      </c>
      <c r="I260" s="294">
        <f t="shared" si="30"/>
        <v>137790.3552949689</v>
      </c>
      <c r="J260" s="295">
        <f t="shared" si="31"/>
        <v>33185048.628148582</v>
      </c>
      <c r="K260" s="302"/>
      <c r="L260" s="302"/>
      <c r="M260" s="302"/>
    </row>
    <row r="261" spans="2:13">
      <c r="B261" s="292"/>
      <c r="C261" s="292"/>
      <c r="D261" s="293">
        <f t="shared" si="33"/>
        <v>49553</v>
      </c>
      <c r="E261" s="291">
        <v>223</v>
      </c>
      <c r="F261" s="294">
        <f t="shared" si="34"/>
        <v>33185048.628148582</v>
      </c>
      <c r="G261" s="294">
        <f t="shared" si="32"/>
        <v>255808.74336133152</v>
      </c>
      <c r="H261" s="294">
        <f t="shared" si="35"/>
        <v>117530.38055802624</v>
      </c>
      <c r="I261" s="294">
        <f t="shared" si="30"/>
        <v>138278.36280330527</v>
      </c>
      <c r="J261" s="295">
        <f t="shared" si="31"/>
        <v>33046770.265345275</v>
      </c>
      <c r="K261" s="302"/>
      <c r="L261" s="302"/>
      <c r="M261" s="302"/>
    </row>
    <row r="262" spans="2:13">
      <c r="B262" s="292"/>
      <c r="C262" s="292"/>
      <c r="D262" s="293">
        <f t="shared" si="33"/>
        <v>49583</v>
      </c>
      <c r="E262" s="291">
        <v>224</v>
      </c>
      <c r="F262" s="294">
        <f t="shared" si="34"/>
        <v>33046770.265345275</v>
      </c>
      <c r="G262" s="294">
        <f t="shared" si="32"/>
        <v>255808.74336133152</v>
      </c>
      <c r="H262" s="294">
        <f t="shared" si="35"/>
        <v>117040.64468976452</v>
      </c>
      <c r="I262" s="294">
        <f t="shared" si="30"/>
        <v>138768.09867156699</v>
      </c>
      <c r="J262" s="295">
        <f t="shared" si="31"/>
        <v>32908002.166673709</v>
      </c>
      <c r="K262" s="302"/>
      <c r="L262" s="302"/>
      <c r="M262" s="302"/>
    </row>
    <row r="263" spans="2:13">
      <c r="B263" s="292"/>
      <c r="C263" s="292"/>
      <c r="D263" s="293">
        <f t="shared" si="33"/>
        <v>49614</v>
      </c>
      <c r="E263" s="291">
        <v>225</v>
      </c>
      <c r="F263" s="294">
        <f t="shared" si="34"/>
        <v>32908002.166673709</v>
      </c>
      <c r="G263" s="294">
        <f t="shared" si="32"/>
        <v>255808.74336133146</v>
      </c>
      <c r="H263" s="294">
        <f t="shared" si="35"/>
        <v>116549.17434030272</v>
      </c>
      <c r="I263" s="294">
        <f t="shared" si="30"/>
        <v>139259.56902102876</v>
      </c>
      <c r="J263" s="295">
        <f t="shared" si="31"/>
        <v>32768742.597652681</v>
      </c>
      <c r="K263" s="302"/>
      <c r="L263" s="302"/>
      <c r="M263" s="302"/>
    </row>
    <row r="264" spans="2:13">
      <c r="B264" s="292"/>
      <c r="C264" s="292"/>
      <c r="D264" s="293">
        <f t="shared" si="33"/>
        <v>49644</v>
      </c>
      <c r="E264" s="291">
        <v>226</v>
      </c>
      <c r="F264" s="294">
        <f t="shared" si="34"/>
        <v>32768742.597652681</v>
      </c>
      <c r="G264" s="294">
        <f t="shared" si="32"/>
        <v>255808.74336133152</v>
      </c>
      <c r="H264" s="294">
        <f t="shared" si="35"/>
        <v>116055.96336668658</v>
      </c>
      <c r="I264" s="294">
        <f t="shared" si="30"/>
        <v>139752.77999464492</v>
      </c>
      <c r="J264" s="295">
        <f t="shared" si="31"/>
        <v>32628989.817658037</v>
      </c>
      <c r="K264" s="302"/>
      <c r="L264" s="302"/>
      <c r="M264" s="302"/>
    </row>
    <row r="265" spans="2:13">
      <c r="B265" s="292"/>
      <c r="C265" s="292"/>
      <c r="D265" s="293">
        <f t="shared" si="33"/>
        <v>49675</v>
      </c>
      <c r="E265" s="291">
        <v>227</v>
      </c>
      <c r="F265" s="294">
        <f t="shared" si="34"/>
        <v>32628989.817658037</v>
      </c>
      <c r="G265" s="294">
        <f t="shared" si="32"/>
        <v>255808.74336133146</v>
      </c>
      <c r="H265" s="294">
        <f t="shared" si="35"/>
        <v>115561.00560420555</v>
      </c>
      <c r="I265" s="294">
        <f t="shared" si="30"/>
        <v>140247.73775712593</v>
      </c>
      <c r="J265" s="295">
        <f t="shared" si="31"/>
        <v>32488742.079900909</v>
      </c>
      <c r="K265" s="302"/>
      <c r="L265" s="302"/>
      <c r="M265" s="302"/>
    </row>
    <row r="266" spans="2:13">
      <c r="B266" s="292"/>
      <c r="C266" s="292"/>
      <c r="D266" s="293">
        <f t="shared" si="33"/>
        <v>49706</v>
      </c>
      <c r="E266" s="291">
        <v>228</v>
      </c>
      <c r="F266" s="294">
        <f t="shared" si="34"/>
        <v>32488742.079900909</v>
      </c>
      <c r="G266" s="294">
        <f t="shared" si="32"/>
        <v>255808.74336133149</v>
      </c>
      <c r="H266" s="294">
        <f t="shared" si="35"/>
        <v>115064.29486631573</v>
      </c>
      <c r="I266" s="294">
        <f t="shared" si="30"/>
        <v>140744.44849501576</v>
      </c>
      <c r="J266" s="301">
        <f t="shared" si="31"/>
        <v>32347997.631405894</v>
      </c>
      <c r="K266" s="302">
        <f>SUM(H255:H266)</f>
        <v>1413171.8376247822</v>
      </c>
      <c r="L266" s="302">
        <f>SUM(I255:I266)</f>
        <v>1656533.0827111958</v>
      </c>
      <c r="M266" s="302">
        <f>SUM(K266:L266)</f>
        <v>3069704.9203359783</v>
      </c>
    </row>
    <row r="267" spans="2:13">
      <c r="B267" s="303">
        <v>20</v>
      </c>
      <c r="C267" s="303">
        <f>C255+1</f>
        <v>2036</v>
      </c>
      <c r="D267" s="293">
        <f t="shared" si="33"/>
        <v>49735</v>
      </c>
      <c r="E267" s="304">
        <v>229</v>
      </c>
      <c r="F267" s="305">
        <f t="shared" si="34"/>
        <v>32347997.631405894</v>
      </c>
      <c r="G267" s="305">
        <f t="shared" si="32"/>
        <v>255808.74336133152</v>
      </c>
      <c r="H267" s="305">
        <f t="shared" si="35"/>
        <v>114565.82494456256</v>
      </c>
      <c r="I267" s="305">
        <f t="shared" si="30"/>
        <v>141242.91841676895</v>
      </c>
      <c r="J267" s="306">
        <f t="shared" si="31"/>
        <v>32206754.712989125</v>
      </c>
      <c r="K267" s="307"/>
      <c r="L267" s="307"/>
      <c r="M267" s="307"/>
    </row>
    <row r="268" spans="2:13">
      <c r="B268" s="292"/>
      <c r="C268" s="292"/>
      <c r="D268" s="293">
        <f t="shared" si="33"/>
        <v>49766</v>
      </c>
      <c r="E268" s="308">
        <v>230</v>
      </c>
      <c r="F268" s="309">
        <f t="shared" si="34"/>
        <v>32206754.712989125</v>
      </c>
      <c r="G268" s="309">
        <f t="shared" si="32"/>
        <v>255808.74336133149</v>
      </c>
      <c r="H268" s="309">
        <f t="shared" si="35"/>
        <v>114065.58960850316</v>
      </c>
      <c r="I268" s="309">
        <f t="shared" si="30"/>
        <v>141743.15375282834</v>
      </c>
      <c r="J268" s="310">
        <f t="shared" si="31"/>
        <v>32065011.559236296</v>
      </c>
      <c r="K268" s="311"/>
      <c r="L268" s="311"/>
      <c r="M268" s="311"/>
    </row>
    <row r="269" spans="2:13">
      <c r="B269" s="292"/>
      <c r="C269" s="292"/>
      <c r="D269" s="293">
        <f t="shared" si="33"/>
        <v>49796</v>
      </c>
      <c r="E269" s="308">
        <v>231</v>
      </c>
      <c r="F269" s="309">
        <f t="shared" si="34"/>
        <v>32065011.559236296</v>
      </c>
      <c r="G269" s="309">
        <f t="shared" si="32"/>
        <v>255808.74336133149</v>
      </c>
      <c r="H269" s="309">
        <f t="shared" si="35"/>
        <v>113563.58260562856</v>
      </c>
      <c r="I269" s="309">
        <f t="shared" si="30"/>
        <v>142245.16075570293</v>
      </c>
      <c r="J269" s="310">
        <f t="shared" si="31"/>
        <v>31922766.398480594</v>
      </c>
      <c r="K269" s="312"/>
      <c r="L269" s="312"/>
      <c r="M269" s="312"/>
    </row>
    <row r="270" spans="2:13">
      <c r="B270" s="292"/>
      <c r="C270" s="292"/>
      <c r="D270" s="293">
        <f t="shared" si="33"/>
        <v>49827</v>
      </c>
      <c r="E270" s="308">
        <v>232</v>
      </c>
      <c r="F270" s="309">
        <f t="shared" si="34"/>
        <v>31922766.398480594</v>
      </c>
      <c r="G270" s="309">
        <f t="shared" si="32"/>
        <v>255808.74336133149</v>
      </c>
      <c r="H270" s="309">
        <f t="shared" si="35"/>
        <v>113059.79766128544</v>
      </c>
      <c r="I270" s="309">
        <f t="shared" si="30"/>
        <v>142748.94570004605</v>
      </c>
      <c r="J270" s="310">
        <f t="shared" si="31"/>
        <v>31780017.452780548</v>
      </c>
      <c r="K270" s="312"/>
      <c r="L270" s="312"/>
      <c r="M270" s="312"/>
    </row>
    <row r="271" spans="2:13">
      <c r="B271" s="292"/>
      <c r="C271" s="292"/>
      <c r="D271" s="293">
        <f t="shared" si="33"/>
        <v>49857</v>
      </c>
      <c r="E271" s="308">
        <v>233</v>
      </c>
      <c r="F271" s="309">
        <f t="shared" si="34"/>
        <v>31780017.452780548</v>
      </c>
      <c r="G271" s="309">
        <f t="shared" si="32"/>
        <v>255808.74336133146</v>
      </c>
      <c r="H271" s="309">
        <f t="shared" si="35"/>
        <v>112554.22847859778</v>
      </c>
      <c r="I271" s="309">
        <f t="shared" si="30"/>
        <v>143254.5148827337</v>
      </c>
      <c r="J271" s="310">
        <f t="shared" si="31"/>
        <v>31636762.937897816</v>
      </c>
      <c r="K271" s="312"/>
      <c r="L271" s="312"/>
      <c r="M271" s="312"/>
    </row>
    <row r="272" spans="2:13">
      <c r="B272" s="292"/>
      <c r="C272" s="292"/>
      <c r="D272" s="293">
        <f t="shared" si="33"/>
        <v>49888</v>
      </c>
      <c r="E272" s="308">
        <v>234</v>
      </c>
      <c r="F272" s="309">
        <f t="shared" si="34"/>
        <v>31636762.937897816</v>
      </c>
      <c r="G272" s="309">
        <f t="shared" si="32"/>
        <v>255808.74336133152</v>
      </c>
      <c r="H272" s="309">
        <f t="shared" si="35"/>
        <v>112046.8687383881</v>
      </c>
      <c r="I272" s="309">
        <f t="shared" si="30"/>
        <v>143761.8746229434</v>
      </c>
      <c r="J272" s="310">
        <f t="shared" si="31"/>
        <v>31493001.063274872</v>
      </c>
      <c r="K272" s="312"/>
      <c r="L272" s="312"/>
      <c r="M272" s="312"/>
    </row>
    <row r="273" spans="2:13">
      <c r="B273" s="292"/>
      <c r="C273" s="292"/>
      <c r="D273" s="293">
        <f t="shared" si="33"/>
        <v>49919</v>
      </c>
      <c r="E273" s="308">
        <v>235</v>
      </c>
      <c r="F273" s="309">
        <f t="shared" si="34"/>
        <v>31493001.063274872</v>
      </c>
      <c r="G273" s="309">
        <f t="shared" si="32"/>
        <v>255808.74336133149</v>
      </c>
      <c r="H273" s="309">
        <f t="shared" si="35"/>
        <v>111537.71209909851</v>
      </c>
      <c r="I273" s="309">
        <f t="shared" si="30"/>
        <v>144271.03126223298</v>
      </c>
      <c r="J273" s="310">
        <f t="shared" si="31"/>
        <v>31348730.032012638</v>
      </c>
      <c r="K273" s="312"/>
      <c r="L273" s="312"/>
      <c r="M273" s="312"/>
    </row>
    <row r="274" spans="2:13">
      <c r="B274" s="292"/>
      <c r="C274" s="292"/>
      <c r="D274" s="293">
        <f t="shared" si="33"/>
        <v>49949</v>
      </c>
      <c r="E274" s="308">
        <v>236</v>
      </c>
      <c r="F274" s="309">
        <f t="shared" si="34"/>
        <v>31348730.032012638</v>
      </c>
      <c r="G274" s="309">
        <f t="shared" si="32"/>
        <v>255808.74336133149</v>
      </c>
      <c r="H274" s="309">
        <f t="shared" si="35"/>
        <v>111026.75219671143</v>
      </c>
      <c r="I274" s="309">
        <f t="shared" si="30"/>
        <v>144781.99116462006</v>
      </c>
      <c r="J274" s="310">
        <f t="shared" si="31"/>
        <v>31203948.040848017</v>
      </c>
      <c r="K274" s="312"/>
      <c r="L274" s="312"/>
      <c r="M274" s="312"/>
    </row>
    <row r="275" spans="2:13">
      <c r="B275" s="292"/>
      <c r="C275" s="292"/>
      <c r="D275" s="293">
        <f t="shared" si="33"/>
        <v>49980</v>
      </c>
      <c r="E275" s="308">
        <v>237</v>
      </c>
      <c r="F275" s="309">
        <f t="shared" si="34"/>
        <v>31203948.040848017</v>
      </c>
      <c r="G275" s="309">
        <f t="shared" si="32"/>
        <v>255808.74336133149</v>
      </c>
      <c r="H275" s="309">
        <f t="shared" si="35"/>
        <v>110513.98264467006</v>
      </c>
      <c r="I275" s="309">
        <f t="shared" si="30"/>
        <v>145294.76071666143</v>
      </c>
      <c r="J275" s="310">
        <f t="shared" si="31"/>
        <v>31058653.280131355</v>
      </c>
      <c r="K275" s="312"/>
      <c r="L275" s="312"/>
      <c r="M275" s="312"/>
    </row>
    <row r="276" spans="2:13">
      <c r="B276" s="292"/>
      <c r="C276" s="292"/>
      <c r="D276" s="293">
        <f t="shared" si="33"/>
        <v>50010</v>
      </c>
      <c r="E276" s="308">
        <v>238</v>
      </c>
      <c r="F276" s="309">
        <f t="shared" si="34"/>
        <v>31058653.280131355</v>
      </c>
      <c r="G276" s="309">
        <f t="shared" si="32"/>
        <v>255808.74336133152</v>
      </c>
      <c r="H276" s="309">
        <f t="shared" si="35"/>
        <v>109999.39703379855</v>
      </c>
      <c r="I276" s="309">
        <f t="shared" si="30"/>
        <v>145809.34632753296</v>
      </c>
      <c r="J276" s="310">
        <f t="shared" si="31"/>
        <v>30912843.933803823</v>
      </c>
      <c r="K276" s="312"/>
      <c r="L276" s="312"/>
      <c r="M276" s="312"/>
    </row>
    <row r="277" spans="2:13">
      <c r="B277" s="292"/>
      <c r="C277" s="292"/>
      <c r="D277" s="293">
        <f t="shared" si="33"/>
        <v>50041</v>
      </c>
      <c r="E277" s="308">
        <v>239</v>
      </c>
      <c r="F277" s="309">
        <f t="shared" si="34"/>
        <v>30912843.933803823</v>
      </c>
      <c r="G277" s="309">
        <f t="shared" si="32"/>
        <v>255808.74336133152</v>
      </c>
      <c r="H277" s="309">
        <f t="shared" si="35"/>
        <v>109482.98893222188</v>
      </c>
      <c r="I277" s="309">
        <f t="shared" si="30"/>
        <v>146325.75442910963</v>
      </c>
      <c r="J277" s="310">
        <f t="shared" si="31"/>
        <v>30766518.179374713</v>
      </c>
      <c r="K277" s="312"/>
      <c r="L277" s="312"/>
      <c r="M277" s="312"/>
    </row>
    <row r="278" spans="2:13">
      <c r="B278" s="292"/>
      <c r="C278" s="292"/>
      <c r="D278" s="293">
        <f t="shared" si="33"/>
        <v>50072</v>
      </c>
      <c r="E278" s="314">
        <v>240</v>
      </c>
      <c r="F278" s="315">
        <f t="shared" si="34"/>
        <v>30766518.179374713</v>
      </c>
      <c r="G278" s="315">
        <f t="shared" si="32"/>
        <v>255808.74336133149</v>
      </c>
      <c r="H278" s="315">
        <f t="shared" si="35"/>
        <v>108964.75188528546</v>
      </c>
      <c r="I278" s="315">
        <f t="shared" si="30"/>
        <v>146843.99147604604</v>
      </c>
      <c r="J278" s="316">
        <f t="shared" si="31"/>
        <v>30619674.187898666</v>
      </c>
      <c r="K278" s="317">
        <f>SUM(H267:H278)</f>
        <v>1341381.4768287514</v>
      </c>
      <c r="L278" s="317">
        <f>SUM(I267:I278)</f>
        <v>1728323.4435072262</v>
      </c>
      <c r="M278" s="317">
        <f>SUM(K278:L278)</f>
        <v>3069704.9203359773</v>
      </c>
    </row>
    <row r="279" spans="2:13">
      <c r="B279" s="303">
        <v>21</v>
      </c>
      <c r="C279" s="303">
        <f>C267+1</f>
        <v>2037</v>
      </c>
      <c r="D279" s="293">
        <f t="shared" si="33"/>
        <v>50100</v>
      </c>
      <c r="E279" s="321">
        <v>241</v>
      </c>
      <c r="F279" s="322">
        <f t="shared" si="34"/>
        <v>30619674.187898666</v>
      </c>
      <c r="G279" s="322">
        <f t="shared" si="32"/>
        <v>255808.74336133149</v>
      </c>
      <c r="H279" s="322">
        <f t="shared" si="35"/>
        <v>108444.67941547444</v>
      </c>
      <c r="I279" s="322">
        <f t="shared" si="30"/>
        <v>147364.06394585705</v>
      </c>
      <c r="J279" s="323">
        <f t="shared" si="31"/>
        <v>30472310.12395281</v>
      </c>
      <c r="K279" s="324"/>
      <c r="L279" s="324"/>
      <c r="M279" s="324"/>
    </row>
    <row r="280" spans="2:13">
      <c r="B280" s="292"/>
      <c r="C280" s="292"/>
      <c r="D280" s="293">
        <f t="shared" si="33"/>
        <v>50131</v>
      </c>
      <c r="E280" s="291">
        <v>242</v>
      </c>
      <c r="F280" s="294">
        <f t="shared" si="34"/>
        <v>30472310.12395281</v>
      </c>
      <c r="G280" s="294">
        <f t="shared" si="32"/>
        <v>255808.74336133152</v>
      </c>
      <c r="H280" s="294">
        <f t="shared" si="35"/>
        <v>107922.76502233288</v>
      </c>
      <c r="I280" s="294">
        <f t="shared" si="30"/>
        <v>147885.97833899863</v>
      </c>
      <c r="J280" s="295">
        <f t="shared" si="31"/>
        <v>30324424.145613812</v>
      </c>
      <c r="K280" s="302"/>
      <c r="L280" s="302"/>
      <c r="M280" s="302"/>
    </row>
    <row r="281" spans="2:13">
      <c r="B281" s="292"/>
      <c r="C281" s="292"/>
      <c r="D281" s="293">
        <f t="shared" si="33"/>
        <v>50161</v>
      </c>
      <c r="E281" s="291">
        <v>243</v>
      </c>
      <c r="F281" s="294">
        <f t="shared" si="34"/>
        <v>30324424.145613812</v>
      </c>
      <c r="G281" s="294">
        <f t="shared" si="32"/>
        <v>255808.74336133152</v>
      </c>
      <c r="H281" s="294">
        <f t="shared" si="35"/>
        <v>107399.00218238226</v>
      </c>
      <c r="I281" s="294">
        <f t="shared" si="30"/>
        <v>148409.74117894925</v>
      </c>
      <c r="J281" s="295">
        <f t="shared" si="31"/>
        <v>30176014.404434863</v>
      </c>
      <c r="K281" s="302"/>
      <c r="L281" s="302"/>
      <c r="M281" s="302"/>
    </row>
    <row r="282" spans="2:13">
      <c r="B282" s="292"/>
      <c r="C282" s="292"/>
      <c r="D282" s="293">
        <f t="shared" si="33"/>
        <v>50192</v>
      </c>
      <c r="E282" s="291">
        <v>244</v>
      </c>
      <c r="F282" s="294">
        <f t="shared" si="34"/>
        <v>30176014.404434863</v>
      </c>
      <c r="G282" s="294">
        <f t="shared" si="32"/>
        <v>255808.74336133152</v>
      </c>
      <c r="H282" s="294">
        <f t="shared" si="35"/>
        <v>106873.38434904015</v>
      </c>
      <c r="I282" s="294">
        <f t="shared" si="30"/>
        <v>148935.35901229136</v>
      </c>
      <c r="J282" s="295">
        <f t="shared" si="31"/>
        <v>30027079.045422573</v>
      </c>
      <c r="K282" s="302"/>
      <c r="L282" s="302"/>
      <c r="M282" s="302"/>
    </row>
    <row r="283" spans="2:13">
      <c r="B283" s="292"/>
      <c r="C283" s="292"/>
      <c r="D283" s="293">
        <f t="shared" si="33"/>
        <v>50222</v>
      </c>
      <c r="E283" s="291">
        <v>245</v>
      </c>
      <c r="F283" s="294">
        <f t="shared" si="34"/>
        <v>30027079.045422573</v>
      </c>
      <c r="G283" s="294">
        <f t="shared" si="32"/>
        <v>255808.74336133149</v>
      </c>
      <c r="H283" s="294">
        <f t="shared" si="35"/>
        <v>106345.90495253829</v>
      </c>
      <c r="I283" s="294">
        <f t="shared" si="30"/>
        <v>149462.83840879321</v>
      </c>
      <c r="J283" s="295">
        <f t="shared" si="31"/>
        <v>29877616.207013778</v>
      </c>
      <c r="K283" s="302"/>
      <c r="L283" s="302"/>
      <c r="M283" s="302"/>
    </row>
    <row r="284" spans="2:13">
      <c r="B284" s="292"/>
      <c r="C284" s="292"/>
      <c r="D284" s="293">
        <f t="shared" si="33"/>
        <v>50253</v>
      </c>
      <c r="E284" s="291">
        <v>246</v>
      </c>
      <c r="F284" s="294">
        <f t="shared" si="34"/>
        <v>29877616.207013778</v>
      </c>
      <c r="G284" s="294">
        <f t="shared" si="32"/>
        <v>255808.74336133149</v>
      </c>
      <c r="H284" s="294">
        <f t="shared" si="35"/>
        <v>105816.55739984047</v>
      </c>
      <c r="I284" s="294">
        <f t="shared" si="30"/>
        <v>149992.18596149102</v>
      </c>
      <c r="J284" s="295">
        <f t="shared" si="31"/>
        <v>29727624.021052286</v>
      </c>
      <c r="K284" s="302"/>
      <c r="L284" s="302"/>
      <c r="M284" s="302"/>
    </row>
    <row r="285" spans="2:13">
      <c r="B285" s="292"/>
      <c r="C285" s="292"/>
      <c r="D285" s="293">
        <f t="shared" si="33"/>
        <v>50284</v>
      </c>
      <c r="E285" s="291">
        <v>247</v>
      </c>
      <c r="F285" s="294">
        <f t="shared" si="34"/>
        <v>29727624.021052286</v>
      </c>
      <c r="G285" s="294">
        <f t="shared" si="32"/>
        <v>255808.74336133149</v>
      </c>
      <c r="H285" s="294">
        <f t="shared" si="35"/>
        <v>105285.33507456019</v>
      </c>
      <c r="I285" s="294">
        <f t="shared" si="30"/>
        <v>150523.4082867713</v>
      </c>
      <c r="J285" s="295">
        <f t="shared" si="31"/>
        <v>29577100.612765513</v>
      </c>
      <c r="K285" s="302"/>
      <c r="L285" s="302"/>
      <c r="M285" s="302"/>
    </row>
    <row r="286" spans="2:13">
      <c r="B286" s="292"/>
      <c r="C286" s="292"/>
      <c r="D286" s="293">
        <f t="shared" si="33"/>
        <v>50314</v>
      </c>
      <c r="E286" s="291">
        <v>248</v>
      </c>
      <c r="F286" s="294">
        <f t="shared" si="34"/>
        <v>29577100.612765513</v>
      </c>
      <c r="G286" s="294">
        <f t="shared" si="32"/>
        <v>255808.74336133146</v>
      </c>
      <c r="H286" s="294">
        <f t="shared" si="35"/>
        <v>104752.23133687787</v>
      </c>
      <c r="I286" s="294">
        <f t="shared" si="30"/>
        <v>151056.51202445361</v>
      </c>
      <c r="J286" s="295">
        <f t="shared" si="31"/>
        <v>29426044.100741059</v>
      </c>
      <c r="K286" s="302"/>
      <c r="L286" s="302"/>
      <c r="M286" s="302"/>
    </row>
    <row r="287" spans="2:13">
      <c r="B287" s="292"/>
      <c r="C287" s="292"/>
      <c r="D287" s="293">
        <f t="shared" si="33"/>
        <v>50345</v>
      </c>
      <c r="E287" s="291">
        <v>249</v>
      </c>
      <c r="F287" s="294">
        <f t="shared" si="34"/>
        <v>29426044.100741059</v>
      </c>
      <c r="G287" s="294">
        <f t="shared" si="32"/>
        <v>255808.74336133149</v>
      </c>
      <c r="H287" s="294">
        <f t="shared" si="35"/>
        <v>104217.23952345792</v>
      </c>
      <c r="I287" s="294">
        <f t="shared" si="30"/>
        <v>151591.50383787358</v>
      </c>
      <c r="J287" s="295">
        <f t="shared" si="31"/>
        <v>29274452.596903186</v>
      </c>
      <c r="K287" s="302"/>
      <c r="L287" s="302"/>
      <c r="M287" s="302"/>
    </row>
    <row r="288" spans="2:13">
      <c r="B288" s="292"/>
      <c r="C288" s="292"/>
      <c r="D288" s="293">
        <f t="shared" si="33"/>
        <v>50375</v>
      </c>
      <c r="E288" s="291">
        <v>250</v>
      </c>
      <c r="F288" s="294">
        <f t="shared" si="34"/>
        <v>29274452.596903186</v>
      </c>
      <c r="G288" s="294">
        <f t="shared" si="32"/>
        <v>255808.74336133149</v>
      </c>
      <c r="H288" s="294">
        <f t="shared" si="35"/>
        <v>103680.35294736546</v>
      </c>
      <c r="I288" s="294">
        <f t="shared" si="30"/>
        <v>152128.39041396603</v>
      </c>
      <c r="J288" s="295">
        <f t="shared" si="31"/>
        <v>29122324.20648922</v>
      </c>
      <c r="K288" s="302"/>
      <c r="L288" s="302"/>
      <c r="M288" s="302"/>
    </row>
    <row r="289" spans="2:13">
      <c r="B289" s="292"/>
      <c r="C289" s="292"/>
      <c r="D289" s="293">
        <f t="shared" si="33"/>
        <v>50406</v>
      </c>
      <c r="E289" s="291">
        <v>251</v>
      </c>
      <c r="F289" s="294">
        <f t="shared" si="34"/>
        <v>29122324.20648922</v>
      </c>
      <c r="G289" s="294">
        <f t="shared" si="32"/>
        <v>255808.74336133149</v>
      </c>
      <c r="H289" s="294">
        <f t="shared" si="35"/>
        <v>103141.56489798267</v>
      </c>
      <c r="I289" s="294">
        <f t="shared" si="30"/>
        <v>152667.17846334883</v>
      </c>
      <c r="J289" s="295">
        <f t="shared" si="31"/>
        <v>28969657.028025873</v>
      </c>
      <c r="K289" s="302"/>
      <c r="L289" s="302"/>
      <c r="M289" s="302"/>
    </row>
    <row r="290" spans="2:13">
      <c r="B290" s="292"/>
      <c r="C290" s="292"/>
      <c r="D290" s="293">
        <f t="shared" si="33"/>
        <v>50437</v>
      </c>
      <c r="E290" s="291">
        <v>252</v>
      </c>
      <c r="F290" s="294">
        <f t="shared" si="34"/>
        <v>28969657.028025873</v>
      </c>
      <c r="G290" s="294">
        <f t="shared" si="32"/>
        <v>255808.74336133149</v>
      </c>
      <c r="H290" s="294">
        <f t="shared" si="35"/>
        <v>102600.86864092498</v>
      </c>
      <c r="I290" s="294">
        <f t="shared" si="30"/>
        <v>153207.87472040651</v>
      </c>
      <c r="J290" s="301">
        <f t="shared" si="31"/>
        <v>28816449.153305467</v>
      </c>
      <c r="K290" s="302">
        <f>SUM(H279:H290)</f>
        <v>1266479.8857427775</v>
      </c>
      <c r="L290" s="302">
        <f>SUM(I279:I290)</f>
        <v>1803225.0345932003</v>
      </c>
      <c r="M290" s="302">
        <f>SUM(K290:L290)</f>
        <v>3069704.9203359778</v>
      </c>
    </row>
    <row r="291" spans="2:13">
      <c r="B291" s="303">
        <v>22</v>
      </c>
      <c r="C291" s="303">
        <f>C279+1</f>
        <v>2038</v>
      </c>
      <c r="D291" s="293">
        <f t="shared" si="33"/>
        <v>50465</v>
      </c>
      <c r="E291" s="304">
        <v>253</v>
      </c>
      <c r="F291" s="305">
        <f t="shared" si="34"/>
        <v>28816449.153305467</v>
      </c>
      <c r="G291" s="305">
        <f t="shared" si="32"/>
        <v>255808.74336133152</v>
      </c>
      <c r="H291" s="305">
        <f t="shared" si="35"/>
        <v>102058.25741795688</v>
      </c>
      <c r="I291" s="305">
        <f t="shared" si="30"/>
        <v>153750.48594337463</v>
      </c>
      <c r="J291" s="306">
        <f t="shared" si="31"/>
        <v>28662698.667362094</v>
      </c>
      <c r="K291" s="307"/>
      <c r="L291" s="307"/>
      <c r="M291" s="307"/>
    </row>
    <row r="292" spans="2:13">
      <c r="B292" s="292"/>
      <c r="C292" s="292"/>
      <c r="D292" s="293">
        <f t="shared" si="33"/>
        <v>50496</v>
      </c>
      <c r="E292" s="308">
        <v>254</v>
      </c>
      <c r="F292" s="309">
        <f t="shared" si="34"/>
        <v>28662698.667362094</v>
      </c>
      <c r="G292" s="309">
        <f t="shared" si="32"/>
        <v>255808.74336133146</v>
      </c>
      <c r="H292" s="309">
        <f t="shared" si="35"/>
        <v>101513.72444690742</v>
      </c>
      <c r="I292" s="309">
        <f t="shared" si="30"/>
        <v>154295.01891442406</v>
      </c>
      <c r="J292" s="310">
        <f t="shared" si="31"/>
        <v>28508403.64844767</v>
      </c>
      <c r="K292" s="311"/>
      <c r="L292" s="311"/>
      <c r="M292" s="311"/>
    </row>
    <row r="293" spans="2:13">
      <c r="B293" s="292"/>
      <c r="C293" s="292"/>
      <c r="D293" s="293">
        <f t="shared" si="33"/>
        <v>50526</v>
      </c>
      <c r="E293" s="308">
        <v>255</v>
      </c>
      <c r="F293" s="309">
        <f t="shared" si="34"/>
        <v>28508403.64844767</v>
      </c>
      <c r="G293" s="309">
        <f t="shared" si="32"/>
        <v>255808.74336133152</v>
      </c>
      <c r="H293" s="309">
        <f t="shared" si="35"/>
        <v>100967.26292158551</v>
      </c>
      <c r="I293" s="309">
        <f t="shared" si="30"/>
        <v>154841.480439746</v>
      </c>
      <c r="J293" s="310">
        <f t="shared" si="31"/>
        <v>28353562.168007925</v>
      </c>
      <c r="K293" s="312"/>
      <c r="L293" s="312"/>
      <c r="M293" s="312"/>
    </row>
    <row r="294" spans="2:13">
      <c r="B294" s="292"/>
      <c r="C294" s="292"/>
      <c r="D294" s="293">
        <f t="shared" si="33"/>
        <v>50557</v>
      </c>
      <c r="E294" s="308">
        <v>256</v>
      </c>
      <c r="F294" s="309">
        <f t="shared" si="34"/>
        <v>28353562.168007925</v>
      </c>
      <c r="G294" s="309">
        <f t="shared" si="32"/>
        <v>255808.74336133149</v>
      </c>
      <c r="H294" s="309">
        <f t="shared" si="35"/>
        <v>100418.86601169474</v>
      </c>
      <c r="I294" s="309">
        <f t="shared" si="30"/>
        <v>155389.87734963675</v>
      </c>
      <c r="J294" s="310">
        <f t="shared" si="31"/>
        <v>28198172.290658288</v>
      </c>
      <c r="K294" s="312"/>
      <c r="L294" s="312"/>
      <c r="M294" s="312"/>
    </row>
    <row r="295" spans="2:13">
      <c r="B295" s="292"/>
      <c r="C295" s="292"/>
      <c r="D295" s="293">
        <f t="shared" si="33"/>
        <v>50587</v>
      </c>
      <c r="E295" s="308">
        <v>257</v>
      </c>
      <c r="F295" s="309">
        <f t="shared" si="34"/>
        <v>28198172.290658288</v>
      </c>
      <c r="G295" s="309">
        <f t="shared" si="32"/>
        <v>255808.74336133149</v>
      </c>
      <c r="H295" s="309">
        <f t="shared" si="35"/>
        <v>99868.526862748113</v>
      </c>
      <c r="I295" s="309">
        <f t="shared" ref="I295:I358" si="36">IF(E295&lt;=$I$9,0,$C$9-H295)</f>
        <v>155940.21649858338</v>
      </c>
      <c r="J295" s="310">
        <f t="shared" ref="J295:J358" si="37">F295-I295</f>
        <v>28042232.074159704</v>
      </c>
      <c r="K295" s="312"/>
      <c r="L295" s="312"/>
      <c r="M295" s="312"/>
    </row>
    <row r="296" spans="2:13">
      <c r="B296" s="292"/>
      <c r="C296" s="292"/>
      <c r="D296" s="293">
        <f t="shared" si="33"/>
        <v>50618</v>
      </c>
      <c r="E296" s="308">
        <v>258</v>
      </c>
      <c r="F296" s="309">
        <f t="shared" si="34"/>
        <v>28042232.074159704</v>
      </c>
      <c r="G296" s="309">
        <f t="shared" ref="G296:G359" si="38">H296+I296</f>
        <v>255808.74336133149</v>
      </c>
      <c r="H296" s="309">
        <f t="shared" si="35"/>
        <v>99316.238595982286</v>
      </c>
      <c r="I296" s="309">
        <f t="shared" si="36"/>
        <v>156492.50476534921</v>
      </c>
      <c r="J296" s="310">
        <f t="shared" si="37"/>
        <v>27885739.569394354</v>
      </c>
      <c r="K296" s="312"/>
      <c r="L296" s="312"/>
      <c r="M296" s="312"/>
    </row>
    <row r="297" spans="2:13">
      <c r="B297" s="292"/>
      <c r="C297" s="292"/>
      <c r="D297" s="293">
        <f t="shared" ref="D297:D360" si="39">DATE(YEAR(D296),MONTH(D296)+1,1)</f>
        <v>50649</v>
      </c>
      <c r="E297" s="308">
        <v>259</v>
      </c>
      <c r="F297" s="309">
        <f t="shared" ref="F297:F360" si="40">J296</f>
        <v>27885739.569394354</v>
      </c>
      <c r="G297" s="309">
        <f t="shared" si="38"/>
        <v>255808.74336133149</v>
      </c>
      <c r="H297" s="309">
        <f t="shared" ref="H297:H360" si="41">$C$6*F297</f>
        <v>98761.994308271678</v>
      </c>
      <c r="I297" s="309">
        <f t="shared" si="36"/>
        <v>157046.74905305982</v>
      </c>
      <c r="J297" s="310">
        <f t="shared" si="37"/>
        <v>27728692.820341293</v>
      </c>
      <c r="K297" s="312"/>
      <c r="L297" s="312"/>
      <c r="M297" s="312"/>
    </row>
    <row r="298" spans="2:13">
      <c r="B298" s="292"/>
      <c r="C298" s="292"/>
      <c r="D298" s="293">
        <f t="shared" si="39"/>
        <v>50679</v>
      </c>
      <c r="E298" s="308">
        <v>260</v>
      </c>
      <c r="F298" s="309">
        <f t="shared" si="40"/>
        <v>27728692.820341293</v>
      </c>
      <c r="G298" s="309">
        <f t="shared" si="38"/>
        <v>255808.74336133149</v>
      </c>
      <c r="H298" s="309">
        <f t="shared" si="41"/>
        <v>98205.787072042091</v>
      </c>
      <c r="I298" s="309">
        <f t="shared" si="36"/>
        <v>157602.9562892894</v>
      </c>
      <c r="J298" s="310">
        <f t="shared" si="37"/>
        <v>27571089.864052005</v>
      </c>
      <c r="K298" s="312"/>
      <c r="L298" s="312"/>
      <c r="M298" s="312"/>
    </row>
    <row r="299" spans="2:13">
      <c r="B299" s="292"/>
      <c r="C299" s="292"/>
      <c r="D299" s="293">
        <f t="shared" si="39"/>
        <v>50710</v>
      </c>
      <c r="E299" s="308">
        <v>261</v>
      </c>
      <c r="F299" s="309">
        <f t="shared" si="40"/>
        <v>27571089.864052005</v>
      </c>
      <c r="G299" s="309">
        <f t="shared" si="38"/>
        <v>255808.74336133146</v>
      </c>
      <c r="H299" s="309">
        <f t="shared" si="41"/>
        <v>97647.609935184199</v>
      </c>
      <c r="I299" s="309">
        <f t="shared" si="36"/>
        <v>158161.13342614728</v>
      </c>
      <c r="J299" s="310">
        <f t="shared" si="37"/>
        <v>27412928.730625857</v>
      </c>
      <c r="K299" s="312"/>
      <c r="L299" s="312"/>
      <c r="M299" s="312"/>
    </row>
    <row r="300" spans="2:13">
      <c r="B300" s="292"/>
      <c r="C300" s="292"/>
      <c r="D300" s="293">
        <f t="shared" si="39"/>
        <v>50740</v>
      </c>
      <c r="E300" s="308">
        <v>262</v>
      </c>
      <c r="F300" s="309">
        <f t="shared" si="40"/>
        <v>27412928.730625857</v>
      </c>
      <c r="G300" s="309">
        <f t="shared" si="38"/>
        <v>255808.74336133146</v>
      </c>
      <c r="H300" s="309">
        <f t="shared" si="41"/>
        <v>97087.455920966589</v>
      </c>
      <c r="I300" s="309">
        <f t="shared" si="36"/>
        <v>158721.28744036489</v>
      </c>
      <c r="J300" s="310">
        <f t="shared" si="37"/>
        <v>27254207.443185493</v>
      </c>
      <c r="K300" s="312"/>
      <c r="L300" s="312"/>
      <c r="M300" s="312"/>
    </row>
    <row r="301" spans="2:13">
      <c r="B301" s="292"/>
      <c r="C301" s="292"/>
      <c r="D301" s="293">
        <f t="shared" si="39"/>
        <v>50771</v>
      </c>
      <c r="E301" s="308">
        <v>263</v>
      </c>
      <c r="F301" s="309">
        <f t="shared" si="40"/>
        <v>27254207.443185493</v>
      </c>
      <c r="G301" s="309">
        <f t="shared" si="38"/>
        <v>255808.74336133146</v>
      </c>
      <c r="H301" s="309">
        <f t="shared" si="41"/>
        <v>96525.318027948626</v>
      </c>
      <c r="I301" s="309">
        <f t="shared" si="36"/>
        <v>159283.42533338285</v>
      </c>
      <c r="J301" s="310">
        <f t="shared" si="37"/>
        <v>27094924.017852109</v>
      </c>
      <c r="K301" s="312"/>
      <c r="L301" s="312"/>
      <c r="M301" s="312"/>
    </row>
    <row r="302" spans="2:13">
      <c r="B302" s="292"/>
      <c r="C302" s="292"/>
      <c r="D302" s="293">
        <f t="shared" si="39"/>
        <v>50802</v>
      </c>
      <c r="E302" s="314">
        <v>264</v>
      </c>
      <c r="F302" s="315">
        <f t="shared" si="40"/>
        <v>27094924.017852109</v>
      </c>
      <c r="G302" s="315">
        <f t="shared" si="38"/>
        <v>255808.74336133149</v>
      </c>
      <c r="H302" s="315">
        <f t="shared" si="41"/>
        <v>95961.189229892887</v>
      </c>
      <c r="I302" s="315">
        <f t="shared" si="36"/>
        <v>159847.55413143861</v>
      </c>
      <c r="J302" s="316">
        <f t="shared" si="37"/>
        <v>26935076.463720672</v>
      </c>
      <c r="K302" s="317">
        <f>SUM(H291:H302)</f>
        <v>1188332.230751181</v>
      </c>
      <c r="L302" s="317">
        <f>SUM(I291:I302)</f>
        <v>1881372.6895847968</v>
      </c>
      <c r="M302" s="317">
        <f>SUM(K302:L302)</f>
        <v>3069704.9203359778</v>
      </c>
    </row>
    <row r="303" spans="2:13">
      <c r="B303" s="303">
        <v>23</v>
      </c>
      <c r="C303" s="303">
        <f>C291+1</f>
        <v>2039</v>
      </c>
      <c r="D303" s="293">
        <f t="shared" si="39"/>
        <v>50830</v>
      </c>
      <c r="E303" s="321">
        <v>265</v>
      </c>
      <c r="F303" s="322">
        <f t="shared" si="40"/>
        <v>26935076.463720672</v>
      </c>
      <c r="G303" s="322">
        <f t="shared" si="38"/>
        <v>255808.74336133152</v>
      </c>
      <c r="H303" s="322">
        <f t="shared" si="41"/>
        <v>95395.06247567739</v>
      </c>
      <c r="I303" s="322">
        <f t="shared" si="36"/>
        <v>160413.68088565412</v>
      </c>
      <c r="J303" s="323">
        <f t="shared" si="37"/>
        <v>26774662.782835018</v>
      </c>
      <c r="K303" s="324"/>
      <c r="L303" s="324"/>
      <c r="M303" s="324"/>
    </row>
    <row r="304" spans="2:13">
      <c r="B304" s="292"/>
      <c r="C304" s="292"/>
      <c r="D304" s="293">
        <f t="shared" si="39"/>
        <v>50861</v>
      </c>
      <c r="E304" s="291">
        <v>266</v>
      </c>
      <c r="F304" s="294">
        <f t="shared" si="40"/>
        <v>26774662.782835018</v>
      </c>
      <c r="G304" s="294">
        <f t="shared" si="38"/>
        <v>255808.74336133149</v>
      </c>
      <c r="H304" s="294">
        <f t="shared" si="41"/>
        <v>94826.930689207366</v>
      </c>
      <c r="I304" s="294">
        <f t="shared" si="36"/>
        <v>160981.81267212413</v>
      </c>
      <c r="J304" s="295">
        <f t="shared" si="37"/>
        <v>26613680.970162895</v>
      </c>
      <c r="K304" s="302"/>
      <c r="L304" s="302"/>
      <c r="M304" s="302"/>
    </row>
    <row r="305" spans="2:13">
      <c r="B305" s="292"/>
      <c r="C305" s="292"/>
      <c r="D305" s="293">
        <f t="shared" si="39"/>
        <v>50891</v>
      </c>
      <c r="E305" s="291">
        <v>267</v>
      </c>
      <c r="F305" s="294">
        <f t="shared" si="40"/>
        <v>26613680.970162895</v>
      </c>
      <c r="G305" s="294">
        <f t="shared" si="38"/>
        <v>255808.74336133149</v>
      </c>
      <c r="H305" s="294">
        <f t="shared" si="41"/>
        <v>94256.786769326922</v>
      </c>
      <c r="I305" s="294">
        <f t="shared" si="36"/>
        <v>161551.95659200457</v>
      </c>
      <c r="J305" s="295">
        <f t="shared" si="37"/>
        <v>26452129.01357089</v>
      </c>
      <c r="K305" s="302"/>
      <c r="L305" s="302"/>
      <c r="M305" s="302"/>
    </row>
    <row r="306" spans="2:13">
      <c r="B306" s="292"/>
      <c r="C306" s="292"/>
      <c r="D306" s="293">
        <f t="shared" si="39"/>
        <v>50922</v>
      </c>
      <c r="E306" s="291">
        <v>268</v>
      </c>
      <c r="F306" s="294">
        <f t="shared" si="40"/>
        <v>26452129.01357089</v>
      </c>
      <c r="G306" s="294">
        <f t="shared" si="38"/>
        <v>255808.74336133149</v>
      </c>
      <c r="H306" s="294">
        <f t="shared" si="41"/>
        <v>93684.623589730239</v>
      </c>
      <c r="I306" s="294">
        <f t="shared" si="36"/>
        <v>162124.11977160125</v>
      </c>
      <c r="J306" s="295">
        <f t="shared" si="37"/>
        <v>26290004.89379929</v>
      </c>
      <c r="K306" s="302"/>
      <c r="L306" s="302"/>
      <c r="M306" s="302"/>
    </row>
    <row r="307" spans="2:13">
      <c r="B307" s="292"/>
      <c r="C307" s="292"/>
      <c r="D307" s="293">
        <f t="shared" si="39"/>
        <v>50952</v>
      </c>
      <c r="E307" s="291">
        <v>269</v>
      </c>
      <c r="F307" s="294">
        <f t="shared" si="40"/>
        <v>26290004.89379929</v>
      </c>
      <c r="G307" s="294">
        <f t="shared" si="38"/>
        <v>255808.74336133149</v>
      </c>
      <c r="H307" s="294">
        <f t="shared" si="41"/>
        <v>93110.433998872497</v>
      </c>
      <c r="I307" s="294">
        <f t="shared" si="36"/>
        <v>162698.309362459</v>
      </c>
      <c r="J307" s="295">
        <f t="shared" si="37"/>
        <v>26127306.58443683</v>
      </c>
      <c r="K307" s="302"/>
      <c r="L307" s="302"/>
      <c r="M307" s="302"/>
    </row>
    <row r="308" spans="2:13">
      <c r="B308" s="292"/>
      <c r="C308" s="292"/>
      <c r="D308" s="293">
        <f t="shared" si="39"/>
        <v>50983</v>
      </c>
      <c r="E308" s="291">
        <v>270</v>
      </c>
      <c r="F308" s="294">
        <f t="shared" si="40"/>
        <v>26127306.58443683</v>
      </c>
      <c r="G308" s="294">
        <f t="shared" si="38"/>
        <v>255808.74336133149</v>
      </c>
      <c r="H308" s="294">
        <f t="shared" si="41"/>
        <v>92534.210819880449</v>
      </c>
      <c r="I308" s="294">
        <f t="shared" si="36"/>
        <v>163274.53254145104</v>
      </c>
      <c r="J308" s="295">
        <f t="shared" si="37"/>
        <v>25964032.05189538</v>
      </c>
      <c r="K308" s="302"/>
      <c r="L308" s="302"/>
      <c r="M308" s="302"/>
    </row>
    <row r="309" spans="2:13">
      <c r="B309" s="292"/>
      <c r="C309" s="292"/>
      <c r="D309" s="293">
        <f t="shared" si="39"/>
        <v>51014</v>
      </c>
      <c r="E309" s="291">
        <v>271</v>
      </c>
      <c r="F309" s="294">
        <f t="shared" si="40"/>
        <v>25964032.05189538</v>
      </c>
      <c r="G309" s="294">
        <f t="shared" si="38"/>
        <v>255808.74336133149</v>
      </c>
      <c r="H309" s="294">
        <f t="shared" si="41"/>
        <v>91955.946850462817</v>
      </c>
      <c r="I309" s="294">
        <f t="shared" si="36"/>
        <v>163852.79651086868</v>
      </c>
      <c r="J309" s="295">
        <f t="shared" si="37"/>
        <v>25800179.255384512</v>
      </c>
      <c r="K309" s="302"/>
      <c r="L309" s="302"/>
      <c r="M309" s="302"/>
    </row>
    <row r="310" spans="2:13">
      <c r="B310" s="292"/>
      <c r="C310" s="292"/>
      <c r="D310" s="293">
        <f t="shared" si="39"/>
        <v>51044</v>
      </c>
      <c r="E310" s="291">
        <v>272</v>
      </c>
      <c r="F310" s="294">
        <f t="shared" si="40"/>
        <v>25800179.255384512</v>
      </c>
      <c r="G310" s="294">
        <f t="shared" si="38"/>
        <v>255808.74336133149</v>
      </c>
      <c r="H310" s="294">
        <f t="shared" si="41"/>
        <v>91375.634862820152</v>
      </c>
      <c r="I310" s="294">
        <f t="shared" si="36"/>
        <v>164433.10849851134</v>
      </c>
      <c r="J310" s="295">
        <f t="shared" si="37"/>
        <v>25635746.146886002</v>
      </c>
      <c r="K310" s="302"/>
      <c r="L310" s="302"/>
      <c r="M310" s="302"/>
    </row>
    <row r="311" spans="2:13">
      <c r="B311" s="292"/>
      <c r="C311" s="292"/>
      <c r="D311" s="293">
        <f t="shared" si="39"/>
        <v>51075</v>
      </c>
      <c r="E311" s="291">
        <v>273</v>
      </c>
      <c r="F311" s="294">
        <f t="shared" si="40"/>
        <v>25635746.146886002</v>
      </c>
      <c r="G311" s="294">
        <f t="shared" si="38"/>
        <v>255808.74336133146</v>
      </c>
      <c r="H311" s="294">
        <f t="shared" si="41"/>
        <v>90793.267603554603</v>
      </c>
      <c r="I311" s="294">
        <f t="shared" si="36"/>
        <v>165015.47575777688</v>
      </c>
      <c r="J311" s="295">
        <f t="shared" si="37"/>
        <v>25470730.671128225</v>
      </c>
      <c r="K311" s="302"/>
      <c r="L311" s="302"/>
      <c r="M311" s="302"/>
    </row>
    <row r="312" spans="2:13">
      <c r="B312" s="292"/>
      <c r="C312" s="292"/>
      <c r="D312" s="293">
        <f t="shared" si="39"/>
        <v>51105</v>
      </c>
      <c r="E312" s="291">
        <v>274</v>
      </c>
      <c r="F312" s="294">
        <f t="shared" si="40"/>
        <v>25470730.671128225</v>
      </c>
      <c r="G312" s="294">
        <f t="shared" si="38"/>
        <v>255808.74336133152</v>
      </c>
      <c r="H312" s="294">
        <f t="shared" si="41"/>
        <v>90208.837793579136</v>
      </c>
      <c r="I312" s="294">
        <f t="shared" si="36"/>
        <v>165599.90556775237</v>
      </c>
      <c r="J312" s="295">
        <f t="shared" si="37"/>
        <v>25305130.765560471</v>
      </c>
      <c r="K312" s="302"/>
      <c r="L312" s="302"/>
      <c r="M312" s="302"/>
    </row>
    <row r="313" spans="2:13">
      <c r="B313" s="292"/>
      <c r="C313" s="292"/>
      <c r="D313" s="293">
        <f t="shared" si="39"/>
        <v>51136</v>
      </c>
      <c r="E313" s="291">
        <v>275</v>
      </c>
      <c r="F313" s="294">
        <f t="shared" si="40"/>
        <v>25305130.765560471</v>
      </c>
      <c r="G313" s="294">
        <f t="shared" si="38"/>
        <v>255808.74336133152</v>
      </c>
      <c r="H313" s="294">
        <f t="shared" si="41"/>
        <v>89622.338128026677</v>
      </c>
      <c r="I313" s="294">
        <f t="shared" si="36"/>
        <v>166186.40523330483</v>
      </c>
      <c r="J313" s="295">
        <f t="shared" si="37"/>
        <v>25138944.360327166</v>
      </c>
      <c r="K313" s="302"/>
      <c r="L313" s="302"/>
      <c r="M313" s="302"/>
    </row>
    <row r="314" spans="2:13">
      <c r="B314" s="292"/>
      <c r="C314" s="292"/>
      <c r="D314" s="293">
        <f t="shared" si="39"/>
        <v>51167</v>
      </c>
      <c r="E314" s="291">
        <v>276</v>
      </c>
      <c r="F314" s="294">
        <f t="shared" si="40"/>
        <v>25138944.360327166</v>
      </c>
      <c r="G314" s="294">
        <f t="shared" si="38"/>
        <v>255808.74336133152</v>
      </c>
      <c r="H314" s="294">
        <f t="shared" si="41"/>
        <v>89033.761276158722</v>
      </c>
      <c r="I314" s="294">
        <f t="shared" si="36"/>
        <v>166774.98208517279</v>
      </c>
      <c r="J314" s="301">
        <f t="shared" si="37"/>
        <v>24972169.378241993</v>
      </c>
      <c r="K314" s="302">
        <f>SUM(H303:H314)</f>
        <v>1106797.8348572969</v>
      </c>
      <c r="L314" s="302">
        <f>SUM(I303:I314)</f>
        <v>1962907.0854786809</v>
      </c>
      <c r="M314" s="302">
        <f>SUM(K314:L314)</f>
        <v>3069704.9203359778</v>
      </c>
    </row>
    <row r="315" spans="2:13">
      <c r="B315" s="303">
        <v>24</v>
      </c>
      <c r="C315" s="303">
        <f>C303+1</f>
        <v>2040</v>
      </c>
      <c r="D315" s="293">
        <f t="shared" si="39"/>
        <v>51196</v>
      </c>
      <c r="E315" s="304">
        <v>277</v>
      </c>
      <c r="F315" s="305">
        <f t="shared" si="40"/>
        <v>24972169.378241993</v>
      </c>
      <c r="G315" s="305">
        <f t="shared" si="38"/>
        <v>255808.74336133152</v>
      </c>
      <c r="H315" s="305">
        <f t="shared" si="41"/>
        <v>88443.099881273738</v>
      </c>
      <c r="I315" s="305">
        <f t="shared" si="36"/>
        <v>167365.64348005777</v>
      </c>
      <c r="J315" s="306">
        <f t="shared" si="37"/>
        <v>24804803.734761935</v>
      </c>
      <c r="K315" s="307"/>
      <c r="L315" s="307"/>
      <c r="M315" s="307"/>
    </row>
    <row r="316" spans="2:13">
      <c r="B316" s="292"/>
      <c r="C316" s="292"/>
      <c r="D316" s="293">
        <f t="shared" si="39"/>
        <v>51227</v>
      </c>
      <c r="E316" s="308">
        <v>278</v>
      </c>
      <c r="F316" s="309">
        <f t="shared" si="40"/>
        <v>24804803.734761935</v>
      </c>
      <c r="G316" s="309">
        <f t="shared" si="38"/>
        <v>255808.74336133146</v>
      </c>
      <c r="H316" s="309">
        <f t="shared" si="41"/>
        <v>87850.346560615188</v>
      </c>
      <c r="I316" s="309">
        <f t="shared" si="36"/>
        <v>167958.39680071629</v>
      </c>
      <c r="J316" s="310">
        <f t="shared" si="37"/>
        <v>24636845.337961219</v>
      </c>
      <c r="K316" s="311"/>
      <c r="L316" s="311"/>
      <c r="M316" s="311"/>
    </row>
    <row r="317" spans="2:13">
      <c r="B317" s="292"/>
      <c r="C317" s="292"/>
      <c r="D317" s="293">
        <f t="shared" si="39"/>
        <v>51257</v>
      </c>
      <c r="E317" s="308">
        <v>279</v>
      </c>
      <c r="F317" s="309">
        <f t="shared" si="40"/>
        <v>24636845.337961219</v>
      </c>
      <c r="G317" s="309">
        <f t="shared" si="38"/>
        <v>255808.74336133149</v>
      </c>
      <c r="H317" s="309">
        <f t="shared" si="41"/>
        <v>87255.49390527932</v>
      </c>
      <c r="I317" s="309">
        <f t="shared" si="36"/>
        <v>168553.24945605217</v>
      </c>
      <c r="J317" s="310">
        <f t="shared" si="37"/>
        <v>24468292.088505168</v>
      </c>
      <c r="K317" s="312"/>
      <c r="L317" s="312"/>
      <c r="M317" s="312"/>
    </row>
    <row r="318" spans="2:13">
      <c r="B318" s="292"/>
      <c r="C318" s="292"/>
      <c r="D318" s="293">
        <f t="shared" si="39"/>
        <v>51288</v>
      </c>
      <c r="E318" s="308">
        <v>280</v>
      </c>
      <c r="F318" s="309">
        <f t="shared" si="40"/>
        <v>24468292.088505168</v>
      </c>
      <c r="G318" s="309">
        <f t="shared" si="38"/>
        <v>255808.74336133149</v>
      </c>
      <c r="H318" s="309">
        <f t="shared" si="41"/>
        <v>86658.534480122471</v>
      </c>
      <c r="I318" s="309">
        <f t="shared" si="36"/>
        <v>169150.20888120902</v>
      </c>
      <c r="J318" s="310">
        <f t="shared" si="37"/>
        <v>24299141.879623957</v>
      </c>
      <c r="K318" s="312"/>
      <c r="L318" s="312"/>
      <c r="M318" s="312"/>
    </row>
    <row r="319" spans="2:13">
      <c r="B319" s="292"/>
      <c r="C319" s="292"/>
      <c r="D319" s="293">
        <f t="shared" si="39"/>
        <v>51318</v>
      </c>
      <c r="E319" s="308">
        <v>281</v>
      </c>
      <c r="F319" s="309">
        <f t="shared" si="40"/>
        <v>24299141.879623957</v>
      </c>
      <c r="G319" s="309">
        <f t="shared" si="38"/>
        <v>255808.74336133146</v>
      </c>
      <c r="H319" s="309">
        <f t="shared" si="41"/>
        <v>86059.460823668182</v>
      </c>
      <c r="I319" s="309">
        <f t="shared" si="36"/>
        <v>169749.2825376633</v>
      </c>
      <c r="J319" s="310">
        <f t="shared" si="37"/>
        <v>24129392.597086295</v>
      </c>
      <c r="K319" s="312"/>
      <c r="L319" s="312"/>
      <c r="M319" s="312"/>
    </row>
    <row r="320" spans="2:13">
      <c r="B320" s="292"/>
      <c r="C320" s="292"/>
      <c r="D320" s="293">
        <f t="shared" si="39"/>
        <v>51349</v>
      </c>
      <c r="E320" s="308">
        <v>282</v>
      </c>
      <c r="F320" s="309">
        <f t="shared" si="40"/>
        <v>24129392.597086295</v>
      </c>
      <c r="G320" s="309">
        <f t="shared" si="38"/>
        <v>255808.74336133146</v>
      </c>
      <c r="H320" s="309">
        <f t="shared" si="41"/>
        <v>85458.265448013975</v>
      </c>
      <c r="I320" s="309">
        <f t="shared" si="36"/>
        <v>170350.4779133175</v>
      </c>
      <c r="J320" s="310">
        <f t="shared" si="37"/>
        <v>23959042.119172979</v>
      </c>
      <c r="K320" s="312"/>
      <c r="L320" s="312"/>
      <c r="M320" s="312"/>
    </row>
    <row r="321" spans="2:13">
      <c r="B321" s="292"/>
      <c r="C321" s="292"/>
      <c r="D321" s="293">
        <f t="shared" si="39"/>
        <v>51380</v>
      </c>
      <c r="E321" s="308">
        <v>283</v>
      </c>
      <c r="F321" s="309">
        <f t="shared" si="40"/>
        <v>23959042.119172979</v>
      </c>
      <c r="G321" s="309">
        <f t="shared" si="38"/>
        <v>255808.74336133149</v>
      </c>
      <c r="H321" s="309">
        <f t="shared" si="41"/>
        <v>84854.940838737646</v>
      </c>
      <c r="I321" s="309">
        <f t="shared" si="36"/>
        <v>170953.80252259385</v>
      </c>
      <c r="J321" s="310">
        <f t="shared" si="37"/>
        <v>23788088.316650387</v>
      </c>
      <c r="K321" s="312"/>
      <c r="L321" s="312"/>
      <c r="M321" s="312"/>
    </row>
    <row r="322" spans="2:13">
      <c r="B322" s="292"/>
      <c r="C322" s="292"/>
      <c r="D322" s="293">
        <f t="shared" si="39"/>
        <v>51410</v>
      </c>
      <c r="E322" s="308">
        <v>284</v>
      </c>
      <c r="F322" s="309">
        <f t="shared" si="40"/>
        <v>23788088.316650387</v>
      </c>
      <c r="G322" s="309">
        <f t="shared" si="38"/>
        <v>255808.74336133149</v>
      </c>
      <c r="H322" s="309">
        <f t="shared" si="41"/>
        <v>84249.479454803455</v>
      </c>
      <c r="I322" s="309">
        <f t="shared" si="36"/>
        <v>171559.26390652804</v>
      </c>
      <c r="J322" s="310">
        <f t="shared" si="37"/>
        <v>23616529.05274386</v>
      </c>
      <c r="K322" s="312"/>
      <c r="L322" s="312"/>
      <c r="M322" s="312"/>
    </row>
    <row r="323" spans="2:13">
      <c r="B323" s="292"/>
      <c r="C323" s="292"/>
      <c r="D323" s="293">
        <f t="shared" si="39"/>
        <v>51441</v>
      </c>
      <c r="E323" s="308">
        <v>285</v>
      </c>
      <c r="F323" s="309">
        <f t="shared" si="40"/>
        <v>23616529.05274386</v>
      </c>
      <c r="G323" s="309">
        <f t="shared" si="38"/>
        <v>255808.74336133152</v>
      </c>
      <c r="H323" s="309">
        <f t="shared" si="41"/>
        <v>83641.873728467835</v>
      </c>
      <c r="I323" s="309">
        <f t="shared" si="36"/>
        <v>172166.86963286367</v>
      </c>
      <c r="J323" s="310">
        <f t="shared" si="37"/>
        <v>23444362.183110997</v>
      </c>
      <c r="K323" s="312"/>
      <c r="L323" s="312"/>
      <c r="M323" s="312"/>
    </row>
    <row r="324" spans="2:13">
      <c r="B324" s="292"/>
      <c r="C324" s="292"/>
      <c r="D324" s="293">
        <f t="shared" si="39"/>
        <v>51471</v>
      </c>
      <c r="E324" s="308">
        <v>286</v>
      </c>
      <c r="F324" s="309">
        <f t="shared" si="40"/>
        <v>23444362.183110997</v>
      </c>
      <c r="G324" s="309">
        <f t="shared" si="38"/>
        <v>255808.74336133149</v>
      </c>
      <c r="H324" s="309">
        <f t="shared" si="41"/>
        <v>83032.116065184789</v>
      </c>
      <c r="I324" s="309">
        <f t="shared" si="36"/>
        <v>172776.6272961467</v>
      </c>
      <c r="J324" s="310">
        <f t="shared" si="37"/>
        <v>23271585.555814851</v>
      </c>
      <c r="K324" s="312"/>
      <c r="L324" s="312"/>
      <c r="M324" s="312"/>
    </row>
    <row r="325" spans="2:13">
      <c r="B325" s="292"/>
      <c r="C325" s="292"/>
      <c r="D325" s="293">
        <f t="shared" si="39"/>
        <v>51502</v>
      </c>
      <c r="E325" s="308">
        <v>287</v>
      </c>
      <c r="F325" s="309">
        <f t="shared" si="40"/>
        <v>23271585.555814851</v>
      </c>
      <c r="G325" s="309">
        <f t="shared" si="38"/>
        <v>255808.74336133149</v>
      </c>
      <c r="H325" s="309">
        <f t="shared" si="41"/>
        <v>82420.198843510938</v>
      </c>
      <c r="I325" s="309">
        <f t="shared" si="36"/>
        <v>173388.54451782056</v>
      </c>
      <c r="J325" s="310">
        <f t="shared" si="37"/>
        <v>23098197.011297032</v>
      </c>
      <c r="K325" s="312"/>
      <c r="L325" s="312"/>
      <c r="M325" s="312"/>
    </row>
    <row r="326" spans="2:13">
      <c r="B326" s="292"/>
      <c r="C326" s="292"/>
      <c r="D326" s="293">
        <f t="shared" si="39"/>
        <v>51533</v>
      </c>
      <c r="E326" s="314">
        <v>288</v>
      </c>
      <c r="F326" s="315">
        <f t="shared" si="40"/>
        <v>23098197.011297032</v>
      </c>
      <c r="G326" s="315">
        <f t="shared" si="38"/>
        <v>255808.74336133146</v>
      </c>
      <c r="H326" s="315">
        <f t="shared" si="41"/>
        <v>81806.114415010336</v>
      </c>
      <c r="I326" s="315">
        <f t="shared" si="36"/>
        <v>174002.62894632114</v>
      </c>
      <c r="J326" s="316">
        <f t="shared" si="37"/>
        <v>22924194.382350709</v>
      </c>
      <c r="K326" s="317">
        <f>SUM(H315:H326)</f>
        <v>1021729.924444688</v>
      </c>
      <c r="L326" s="317">
        <f>SUM(I315:I326)</f>
        <v>2047974.9958912898</v>
      </c>
      <c r="M326" s="317">
        <f>SUM(K326:L326)</f>
        <v>3069704.9203359778</v>
      </c>
    </row>
    <row r="327" spans="2:13">
      <c r="B327" s="303">
        <v>25</v>
      </c>
      <c r="C327" s="303">
        <f>C315+1</f>
        <v>2041</v>
      </c>
      <c r="D327" s="293">
        <f t="shared" si="39"/>
        <v>51561</v>
      </c>
      <c r="E327" s="321">
        <v>289</v>
      </c>
      <c r="F327" s="322">
        <f t="shared" si="40"/>
        <v>22924194.382350709</v>
      </c>
      <c r="G327" s="322">
        <f t="shared" si="38"/>
        <v>255808.74336133146</v>
      </c>
      <c r="H327" s="322">
        <f t="shared" si="41"/>
        <v>81189.855104158763</v>
      </c>
      <c r="I327" s="322">
        <f t="shared" si="36"/>
        <v>174618.88825717272</v>
      </c>
      <c r="J327" s="323">
        <f t="shared" si="37"/>
        <v>22749575.494093537</v>
      </c>
      <c r="K327" s="324"/>
      <c r="L327" s="324"/>
      <c r="M327" s="324"/>
    </row>
    <row r="328" spans="2:13">
      <c r="B328" s="292"/>
      <c r="D328" s="293">
        <f t="shared" si="39"/>
        <v>51592</v>
      </c>
      <c r="E328" s="291">
        <v>290</v>
      </c>
      <c r="F328" s="294">
        <f t="shared" si="40"/>
        <v>22749575.494093537</v>
      </c>
      <c r="G328" s="294">
        <f t="shared" si="38"/>
        <v>255808.74336133149</v>
      </c>
      <c r="H328" s="294">
        <f t="shared" si="41"/>
        <v>80571.413208247948</v>
      </c>
      <c r="I328" s="294">
        <f t="shared" si="36"/>
        <v>175237.33015308355</v>
      </c>
      <c r="J328" s="295">
        <f t="shared" si="37"/>
        <v>22574338.163940452</v>
      </c>
      <c r="K328" s="302"/>
      <c r="L328" s="302"/>
      <c r="M328" s="302"/>
    </row>
    <row r="329" spans="2:13">
      <c r="B329" s="292"/>
      <c r="D329" s="293">
        <f t="shared" si="39"/>
        <v>51622</v>
      </c>
      <c r="E329" s="291">
        <v>291</v>
      </c>
      <c r="F329" s="294">
        <f t="shared" si="40"/>
        <v>22574338.163940452</v>
      </c>
      <c r="G329" s="294">
        <f t="shared" si="38"/>
        <v>255808.74336133149</v>
      </c>
      <c r="H329" s="294">
        <f t="shared" si="41"/>
        <v>79950.780997289112</v>
      </c>
      <c r="I329" s="294">
        <f t="shared" si="36"/>
        <v>175857.96236404238</v>
      </c>
      <c r="J329" s="295">
        <f t="shared" si="37"/>
        <v>22398480.201576408</v>
      </c>
      <c r="K329" s="302"/>
      <c r="L329" s="302"/>
      <c r="M329" s="302"/>
    </row>
    <row r="330" spans="2:13">
      <c r="B330" s="292"/>
      <c r="D330" s="293">
        <f t="shared" si="39"/>
        <v>51653</v>
      </c>
      <c r="E330" s="291">
        <v>292</v>
      </c>
      <c r="F330" s="294">
        <f t="shared" si="40"/>
        <v>22398480.201576408</v>
      </c>
      <c r="G330" s="294">
        <f t="shared" si="38"/>
        <v>255808.74336133149</v>
      </c>
      <c r="H330" s="294">
        <f t="shared" si="41"/>
        <v>79327.950713916449</v>
      </c>
      <c r="I330" s="294">
        <f t="shared" si="36"/>
        <v>176480.79264741504</v>
      </c>
      <c r="J330" s="295">
        <f t="shared" si="37"/>
        <v>22221999.408928994</v>
      </c>
      <c r="K330" s="302"/>
      <c r="L330" s="302"/>
      <c r="M330" s="302"/>
    </row>
    <row r="331" spans="2:13">
      <c r="B331" s="292"/>
      <c r="D331" s="293">
        <f t="shared" si="39"/>
        <v>51683</v>
      </c>
      <c r="E331" s="291">
        <v>293</v>
      </c>
      <c r="F331" s="294">
        <f t="shared" si="40"/>
        <v>22221999.408928994</v>
      </c>
      <c r="G331" s="294">
        <f t="shared" si="38"/>
        <v>255808.74336133152</v>
      </c>
      <c r="H331" s="294">
        <f t="shared" si="41"/>
        <v>78702.914573290196</v>
      </c>
      <c r="I331" s="294">
        <f t="shared" si="36"/>
        <v>177105.82878804131</v>
      </c>
      <c r="J331" s="295">
        <f t="shared" si="37"/>
        <v>22044893.580140952</v>
      </c>
      <c r="K331" s="302"/>
      <c r="L331" s="302"/>
      <c r="M331" s="302"/>
    </row>
    <row r="332" spans="2:13">
      <c r="B332" s="292"/>
      <c r="C332" s="292"/>
      <c r="D332" s="293">
        <f t="shared" si="39"/>
        <v>51714</v>
      </c>
      <c r="E332" s="291">
        <v>294</v>
      </c>
      <c r="F332" s="294">
        <f t="shared" si="40"/>
        <v>22044893.580140952</v>
      </c>
      <c r="G332" s="294">
        <f t="shared" si="38"/>
        <v>255808.74336133152</v>
      </c>
      <c r="H332" s="294">
        <f t="shared" si="41"/>
        <v>78075.664762999208</v>
      </c>
      <c r="I332" s="294">
        <f t="shared" si="36"/>
        <v>177733.0785983323</v>
      </c>
      <c r="J332" s="295">
        <f t="shared" si="37"/>
        <v>21867160.50154262</v>
      </c>
      <c r="K332" s="302"/>
      <c r="L332" s="302"/>
      <c r="M332" s="302"/>
    </row>
    <row r="333" spans="2:13">
      <c r="B333" s="292"/>
      <c r="D333" s="293">
        <f t="shared" si="39"/>
        <v>51745</v>
      </c>
      <c r="E333" s="291">
        <v>295</v>
      </c>
      <c r="F333" s="294">
        <f t="shared" si="40"/>
        <v>21867160.50154262</v>
      </c>
      <c r="G333" s="294">
        <f t="shared" si="38"/>
        <v>255808.74336133152</v>
      </c>
      <c r="H333" s="294">
        <f t="shared" si="41"/>
        <v>77446.193442963457</v>
      </c>
      <c r="I333" s="294">
        <f t="shared" si="36"/>
        <v>178362.54991836805</v>
      </c>
      <c r="J333" s="295">
        <f t="shared" si="37"/>
        <v>21688797.951624252</v>
      </c>
      <c r="K333" s="302"/>
      <c r="L333" s="302"/>
      <c r="M333" s="302"/>
    </row>
    <row r="334" spans="2:13">
      <c r="B334" s="292"/>
      <c r="D334" s="293">
        <f t="shared" si="39"/>
        <v>51775</v>
      </c>
      <c r="E334" s="291">
        <v>296</v>
      </c>
      <c r="F334" s="294">
        <f t="shared" si="40"/>
        <v>21688797.951624252</v>
      </c>
      <c r="G334" s="294">
        <f t="shared" si="38"/>
        <v>255808.74336133152</v>
      </c>
      <c r="H334" s="294">
        <f t="shared" si="41"/>
        <v>76814.492745335898</v>
      </c>
      <c r="I334" s="294">
        <f t="shared" si="36"/>
        <v>178994.25061599561</v>
      </c>
      <c r="J334" s="295">
        <f t="shared" si="37"/>
        <v>21509803.701008257</v>
      </c>
      <c r="K334" s="302"/>
      <c r="L334" s="302"/>
      <c r="M334" s="302"/>
    </row>
    <row r="335" spans="2:13">
      <c r="B335" s="292"/>
      <c r="D335" s="293">
        <f t="shared" si="39"/>
        <v>51806</v>
      </c>
      <c r="E335" s="291">
        <v>297</v>
      </c>
      <c r="F335" s="294">
        <f t="shared" si="40"/>
        <v>21509803.701008257</v>
      </c>
      <c r="G335" s="294">
        <f t="shared" si="38"/>
        <v>255808.74336133149</v>
      </c>
      <c r="H335" s="294">
        <f t="shared" si="41"/>
        <v>76180.554774404241</v>
      </c>
      <c r="I335" s="294">
        <f t="shared" si="36"/>
        <v>179628.18858692725</v>
      </c>
      <c r="J335" s="295">
        <f t="shared" si="37"/>
        <v>21330175.512421329</v>
      </c>
      <c r="K335" s="302"/>
      <c r="L335" s="302"/>
      <c r="M335" s="302"/>
    </row>
    <row r="336" spans="2:13">
      <c r="B336" s="292"/>
      <c r="D336" s="293">
        <f t="shared" si="39"/>
        <v>51836</v>
      </c>
      <c r="E336" s="291">
        <v>298</v>
      </c>
      <c r="F336" s="294">
        <f t="shared" si="40"/>
        <v>21330175.512421329</v>
      </c>
      <c r="G336" s="294">
        <f t="shared" si="38"/>
        <v>255808.74336133149</v>
      </c>
      <c r="H336" s="294">
        <f t="shared" si="41"/>
        <v>75544.371606492205</v>
      </c>
      <c r="I336" s="294">
        <f t="shared" si="36"/>
        <v>180264.37175483929</v>
      </c>
      <c r="J336" s="295">
        <f t="shared" si="37"/>
        <v>21149911.140666489</v>
      </c>
      <c r="K336" s="302"/>
      <c r="L336" s="302"/>
      <c r="M336" s="302"/>
    </row>
    <row r="337" spans="2:13">
      <c r="B337" s="292"/>
      <c r="D337" s="293">
        <f t="shared" si="39"/>
        <v>51867</v>
      </c>
      <c r="E337" s="291">
        <v>299</v>
      </c>
      <c r="F337" s="294">
        <f t="shared" si="40"/>
        <v>21149911.140666489</v>
      </c>
      <c r="G337" s="294">
        <f t="shared" si="38"/>
        <v>255808.74336133146</v>
      </c>
      <c r="H337" s="294">
        <f t="shared" si="41"/>
        <v>74905.935289860485</v>
      </c>
      <c r="I337" s="294">
        <f t="shared" si="36"/>
        <v>180902.80807147099</v>
      </c>
      <c r="J337" s="295">
        <f t="shared" si="37"/>
        <v>20969008.332595017</v>
      </c>
      <c r="K337" s="302"/>
      <c r="L337" s="302"/>
      <c r="M337" s="302"/>
    </row>
    <row r="338" spans="2:13">
      <c r="B338" s="292"/>
      <c r="D338" s="293">
        <f t="shared" si="39"/>
        <v>51898</v>
      </c>
      <c r="E338" s="291">
        <v>300</v>
      </c>
      <c r="F338" s="294">
        <f t="shared" si="40"/>
        <v>20969008.332595017</v>
      </c>
      <c r="G338" s="294">
        <f t="shared" si="38"/>
        <v>255808.74336133149</v>
      </c>
      <c r="H338" s="294">
        <f t="shared" si="41"/>
        <v>74265.237844607356</v>
      </c>
      <c r="I338" s="294">
        <f t="shared" si="36"/>
        <v>181543.50551672414</v>
      </c>
      <c r="J338" s="301">
        <f t="shared" si="37"/>
        <v>20787464.827078294</v>
      </c>
      <c r="K338" s="302">
        <f>SUM(H327:H338)</f>
        <v>932975.36506356532</v>
      </c>
      <c r="L338" s="302">
        <f>SUM(I327:I338)</f>
        <v>2136729.5552724125</v>
      </c>
      <c r="M338" s="302">
        <f>SUM(K338:L338)</f>
        <v>3069704.9203359778</v>
      </c>
    </row>
    <row r="339" spans="2:13">
      <c r="B339" s="329">
        <v>26</v>
      </c>
      <c r="C339" s="303">
        <f>C327+1</f>
        <v>2042</v>
      </c>
      <c r="D339" s="293">
        <f t="shared" si="39"/>
        <v>51926</v>
      </c>
      <c r="E339" s="304">
        <v>301</v>
      </c>
      <c r="F339" s="305">
        <f t="shared" si="40"/>
        <v>20787464.827078294</v>
      </c>
      <c r="G339" s="305">
        <f t="shared" si="38"/>
        <v>255808.74336133146</v>
      </c>
      <c r="H339" s="305">
        <f t="shared" si="41"/>
        <v>73622.27126256896</v>
      </c>
      <c r="I339" s="305">
        <f t="shared" si="36"/>
        <v>182186.47209876252</v>
      </c>
      <c r="J339" s="306">
        <f t="shared" si="37"/>
        <v>20605278.35497953</v>
      </c>
      <c r="K339" s="307"/>
      <c r="L339" s="307"/>
      <c r="M339" s="307"/>
    </row>
    <row r="340" spans="2:13">
      <c r="D340" s="293">
        <f t="shared" si="39"/>
        <v>51957</v>
      </c>
      <c r="E340" s="308">
        <v>302</v>
      </c>
      <c r="F340" s="309">
        <f t="shared" si="40"/>
        <v>20605278.35497953</v>
      </c>
      <c r="G340" s="309">
        <f t="shared" si="38"/>
        <v>255808.74336133149</v>
      </c>
      <c r="H340" s="309">
        <f t="shared" si="41"/>
        <v>72977.027507219173</v>
      </c>
      <c r="I340" s="309">
        <f t="shared" si="36"/>
        <v>182831.71585411232</v>
      </c>
      <c r="J340" s="310">
        <f t="shared" si="37"/>
        <v>20422446.639125418</v>
      </c>
      <c r="K340" s="311"/>
      <c r="L340" s="311"/>
      <c r="M340" s="311"/>
    </row>
    <row r="341" spans="2:13">
      <c r="D341" s="293">
        <f t="shared" si="39"/>
        <v>51987</v>
      </c>
      <c r="E341" s="308">
        <v>303</v>
      </c>
      <c r="F341" s="309">
        <f t="shared" si="40"/>
        <v>20422446.639125418</v>
      </c>
      <c r="G341" s="309">
        <f t="shared" si="38"/>
        <v>255808.74336133146</v>
      </c>
      <c r="H341" s="309">
        <f t="shared" si="41"/>
        <v>72329.498513569197</v>
      </c>
      <c r="I341" s="309">
        <f t="shared" si="36"/>
        <v>183479.24484776228</v>
      </c>
      <c r="J341" s="310">
        <f t="shared" si="37"/>
        <v>20238967.394277655</v>
      </c>
      <c r="K341" s="312"/>
      <c r="L341" s="312"/>
      <c r="M341" s="312"/>
    </row>
    <row r="342" spans="2:13">
      <c r="D342" s="293">
        <f t="shared" si="39"/>
        <v>52018</v>
      </c>
      <c r="E342" s="308">
        <v>304</v>
      </c>
      <c r="F342" s="309">
        <f t="shared" si="40"/>
        <v>20238967.394277655</v>
      </c>
      <c r="G342" s="309">
        <f t="shared" si="38"/>
        <v>255808.74336133152</v>
      </c>
      <c r="H342" s="309">
        <f t="shared" si="41"/>
        <v>71679.676188066704</v>
      </c>
      <c r="I342" s="309">
        <f t="shared" si="36"/>
        <v>184129.0671732648</v>
      </c>
      <c r="J342" s="310">
        <f t="shared" si="37"/>
        <v>20054838.32710439</v>
      </c>
      <c r="K342" s="312"/>
      <c r="L342" s="312"/>
      <c r="M342" s="312"/>
    </row>
    <row r="343" spans="2:13">
      <c r="C343" s="292"/>
      <c r="D343" s="293">
        <f t="shared" si="39"/>
        <v>52048</v>
      </c>
      <c r="E343" s="308">
        <v>305</v>
      </c>
      <c r="F343" s="309">
        <f t="shared" si="40"/>
        <v>20054838.32710439</v>
      </c>
      <c r="G343" s="309">
        <f t="shared" si="38"/>
        <v>255808.74336133149</v>
      </c>
      <c r="H343" s="309">
        <f t="shared" si="41"/>
        <v>71027.552408494725</v>
      </c>
      <c r="I343" s="309">
        <f t="shared" si="36"/>
        <v>184781.19095283677</v>
      </c>
      <c r="J343" s="310">
        <f t="shared" si="37"/>
        <v>19870057.136151552</v>
      </c>
      <c r="K343" s="312"/>
      <c r="L343" s="312"/>
      <c r="M343" s="312"/>
    </row>
    <row r="344" spans="2:13">
      <c r="C344" s="292"/>
      <c r="D344" s="293">
        <f t="shared" si="39"/>
        <v>52079</v>
      </c>
      <c r="E344" s="308">
        <v>306</v>
      </c>
      <c r="F344" s="309">
        <f t="shared" si="40"/>
        <v>19870057.136151552</v>
      </c>
      <c r="G344" s="309">
        <f t="shared" si="38"/>
        <v>255808.74336133152</v>
      </c>
      <c r="H344" s="309">
        <f t="shared" si="41"/>
        <v>70373.11902387008</v>
      </c>
      <c r="I344" s="309">
        <f t="shared" si="36"/>
        <v>185435.62433746143</v>
      </c>
      <c r="J344" s="310">
        <f t="shared" si="37"/>
        <v>19684621.511814091</v>
      </c>
      <c r="K344" s="312"/>
      <c r="L344" s="312"/>
      <c r="M344" s="312"/>
    </row>
    <row r="345" spans="2:13">
      <c r="D345" s="293">
        <f t="shared" si="39"/>
        <v>52110</v>
      </c>
      <c r="E345" s="308">
        <v>307</v>
      </c>
      <c r="F345" s="309">
        <f t="shared" si="40"/>
        <v>19684621.511814091</v>
      </c>
      <c r="G345" s="309">
        <f t="shared" si="38"/>
        <v>255808.74336133149</v>
      </c>
      <c r="H345" s="309">
        <f t="shared" si="41"/>
        <v>69716.367854341574</v>
      </c>
      <c r="I345" s="309">
        <f t="shared" si="36"/>
        <v>186092.37550698992</v>
      </c>
      <c r="J345" s="310">
        <f t="shared" si="37"/>
        <v>19498529.136307102</v>
      </c>
      <c r="K345" s="312"/>
      <c r="L345" s="312"/>
      <c r="M345" s="312"/>
    </row>
    <row r="346" spans="2:13">
      <c r="D346" s="293">
        <f t="shared" si="39"/>
        <v>52140</v>
      </c>
      <c r="E346" s="308">
        <v>308</v>
      </c>
      <c r="F346" s="309">
        <f t="shared" si="40"/>
        <v>19498529.136307102</v>
      </c>
      <c r="G346" s="309">
        <f t="shared" si="38"/>
        <v>255808.74336133149</v>
      </c>
      <c r="H346" s="309">
        <f t="shared" si="41"/>
        <v>69057.290691087663</v>
      </c>
      <c r="I346" s="309">
        <f t="shared" si="36"/>
        <v>186751.45267024383</v>
      </c>
      <c r="J346" s="310">
        <f t="shared" si="37"/>
        <v>19311777.683636859</v>
      </c>
      <c r="K346" s="312"/>
      <c r="L346" s="312"/>
      <c r="M346" s="312"/>
    </row>
    <row r="347" spans="2:13">
      <c r="D347" s="293">
        <f t="shared" si="39"/>
        <v>52171</v>
      </c>
      <c r="E347" s="308">
        <v>309</v>
      </c>
      <c r="F347" s="309">
        <f t="shared" si="40"/>
        <v>19311777.683636859</v>
      </c>
      <c r="G347" s="309">
        <f t="shared" si="38"/>
        <v>255808.74336133149</v>
      </c>
      <c r="H347" s="309">
        <f t="shared" si="41"/>
        <v>68395.879296213883</v>
      </c>
      <c r="I347" s="309">
        <f t="shared" si="36"/>
        <v>187412.86406511761</v>
      </c>
      <c r="J347" s="310">
        <f t="shared" si="37"/>
        <v>19124364.819571741</v>
      </c>
      <c r="K347" s="312"/>
      <c r="L347" s="312"/>
      <c r="M347" s="312"/>
    </row>
    <row r="348" spans="2:13">
      <c r="D348" s="293">
        <f t="shared" si="39"/>
        <v>52201</v>
      </c>
      <c r="E348" s="308">
        <v>310</v>
      </c>
      <c r="F348" s="309">
        <f t="shared" si="40"/>
        <v>19124364.819571741</v>
      </c>
      <c r="G348" s="309">
        <f t="shared" si="38"/>
        <v>255808.74336133149</v>
      </c>
      <c r="H348" s="309">
        <f t="shared" si="41"/>
        <v>67732.125402649923</v>
      </c>
      <c r="I348" s="309">
        <f t="shared" si="36"/>
        <v>188076.61795868157</v>
      </c>
      <c r="J348" s="310">
        <f t="shared" si="37"/>
        <v>18936288.201613061</v>
      </c>
      <c r="K348" s="312"/>
      <c r="L348" s="312"/>
      <c r="M348" s="312"/>
    </row>
    <row r="349" spans="2:13">
      <c r="D349" s="293">
        <f t="shared" si="39"/>
        <v>52232</v>
      </c>
      <c r="E349" s="308">
        <v>311</v>
      </c>
      <c r="F349" s="309">
        <f t="shared" si="40"/>
        <v>18936288.201613061</v>
      </c>
      <c r="G349" s="309">
        <f t="shared" si="38"/>
        <v>255808.74336133149</v>
      </c>
      <c r="H349" s="309">
        <f t="shared" si="41"/>
        <v>67066.020714046259</v>
      </c>
      <c r="I349" s="309">
        <f t="shared" si="36"/>
        <v>188742.72264728523</v>
      </c>
      <c r="J349" s="310">
        <f t="shared" si="37"/>
        <v>18747545.478965774</v>
      </c>
      <c r="K349" s="312"/>
      <c r="L349" s="312"/>
      <c r="M349" s="312"/>
    </row>
    <row r="350" spans="2:13">
      <c r="D350" s="293">
        <f t="shared" si="39"/>
        <v>52263</v>
      </c>
      <c r="E350" s="314">
        <v>312</v>
      </c>
      <c r="F350" s="315">
        <f t="shared" si="40"/>
        <v>18747545.478965774</v>
      </c>
      <c r="G350" s="315">
        <f t="shared" si="38"/>
        <v>255808.74336133149</v>
      </c>
      <c r="H350" s="315">
        <f t="shared" si="41"/>
        <v>66397.556904670462</v>
      </c>
      <c r="I350" s="315">
        <f t="shared" si="36"/>
        <v>189411.18645666103</v>
      </c>
      <c r="J350" s="316">
        <f t="shared" si="37"/>
        <v>18558134.292509113</v>
      </c>
      <c r="K350" s="317">
        <f>SUM(H339:H350)</f>
        <v>840374.38576679851</v>
      </c>
      <c r="L350" s="317">
        <f>SUM(I339:I350)</f>
        <v>2229330.5345691796</v>
      </c>
      <c r="M350" s="317">
        <f>SUM(K350:L350)</f>
        <v>3069704.9203359783</v>
      </c>
    </row>
    <row r="351" spans="2:13">
      <c r="B351" s="329">
        <v>27</v>
      </c>
      <c r="C351" s="303">
        <f>C339+1</f>
        <v>2043</v>
      </c>
      <c r="D351" s="293">
        <f t="shared" si="39"/>
        <v>52291</v>
      </c>
      <c r="E351" s="321">
        <v>313</v>
      </c>
      <c r="F351" s="322">
        <f t="shared" si="40"/>
        <v>18558134.292509113</v>
      </c>
      <c r="G351" s="322">
        <f t="shared" si="38"/>
        <v>255808.74336133152</v>
      </c>
      <c r="H351" s="322">
        <f t="shared" si="41"/>
        <v>65726.725619303106</v>
      </c>
      <c r="I351" s="322">
        <f t="shared" si="36"/>
        <v>190082.0177420284</v>
      </c>
      <c r="J351" s="323">
        <f t="shared" si="37"/>
        <v>18368052.274767086</v>
      </c>
      <c r="K351" s="259"/>
      <c r="L351" s="259"/>
      <c r="M351" s="259"/>
    </row>
    <row r="352" spans="2:13">
      <c r="D352" s="293">
        <f t="shared" si="39"/>
        <v>52322</v>
      </c>
      <c r="E352" s="291">
        <v>314</v>
      </c>
      <c r="F352" s="294">
        <f t="shared" si="40"/>
        <v>18368052.274767086</v>
      </c>
      <c r="G352" s="294">
        <f t="shared" si="38"/>
        <v>255808.74336133149</v>
      </c>
      <c r="H352" s="294">
        <f t="shared" si="41"/>
        <v>65053.518473133438</v>
      </c>
      <c r="I352" s="294">
        <f t="shared" si="36"/>
        <v>190755.22488819805</v>
      </c>
      <c r="J352" s="295">
        <f t="shared" si="37"/>
        <v>18177297.049878888</v>
      </c>
    </row>
    <row r="353" spans="2:13">
      <c r="D353" s="293">
        <f t="shared" si="39"/>
        <v>52352</v>
      </c>
      <c r="E353" s="291">
        <v>315</v>
      </c>
      <c r="F353" s="294">
        <f t="shared" si="40"/>
        <v>18177297.049878888</v>
      </c>
      <c r="G353" s="294">
        <f t="shared" si="38"/>
        <v>255808.74336133149</v>
      </c>
      <c r="H353" s="294">
        <f t="shared" si="41"/>
        <v>64377.927051654398</v>
      </c>
      <c r="I353" s="294">
        <f t="shared" si="36"/>
        <v>191430.81630967709</v>
      </c>
      <c r="J353" s="295">
        <f t="shared" si="37"/>
        <v>17985866.233569212</v>
      </c>
    </row>
    <row r="354" spans="2:13">
      <c r="D354" s="293">
        <f t="shared" si="39"/>
        <v>52383</v>
      </c>
      <c r="E354" s="291">
        <v>316</v>
      </c>
      <c r="F354" s="294">
        <f t="shared" si="40"/>
        <v>17985866.233569212</v>
      </c>
      <c r="G354" s="294">
        <f t="shared" si="38"/>
        <v>255808.74336133149</v>
      </c>
      <c r="H354" s="294">
        <f t="shared" si="41"/>
        <v>63699.942910557635</v>
      </c>
      <c r="I354" s="294">
        <f t="shared" si="36"/>
        <v>192108.80045077385</v>
      </c>
      <c r="J354" s="295">
        <f t="shared" si="37"/>
        <v>17793757.43311844</v>
      </c>
    </row>
    <row r="355" spans="2:13">
      <c r="D355" s="293">
        <f t="shared" si="39"/>
        <v>52413</v>
      </c>
      <c r="E355" s="291">
        <v>317</v>
      </c>
      <c r="F355" s="294">
        <f t="shared" si="40"/>
        <v>17793757.43311844</v>
      </c>
      <c r="G355" s="294">
        <f t="shared" si="38"/>
        <v>255808.74336133149</v>
      </c>
      <c r="H355" s="294">
        <f t="shared" si="41"/>
        <v>63019.557575627812</v>
      </c>
      <c r="I355" s="294">
        <f t="shared" si="36"/>
        <v>192789.18578570368</v>
      </c>
      <c r="J355" s="295">
        <f t="shared" si="37"/>
        <v>17600968.247332737</v>
      </c>
    </row>
    <row r="356" spans="2:13">
      <c r="D356" s="293">
        <f t="shared" si="39"/>
        <v>52444</v>
      </c>
      <c r="E356" s="291">
        <v>318</v>
      </c>
      <c r="F356" s="294">
        <f t="shared" si="40"/>
        <v>17600968.247332737</v>
      </c>
      <c r="G356" s="294">
        <f t="shared" si="38"/>
        <v>255808.74336133149</v>
      </c>
      <c r="H356" s="294">
        <f t="shared" si="41"/>
        <v>62336.762542636781</v>
      </c>
      <c r="I356" s="294">
        <f t="shared" si="36"/>
        <v>193471.98081869472</v>
      </c>
      <c r="J356" s="295">
        <f t="shared" si="37"/>
        <v>17407496.266514041</v>
      </c>
    </row>
    <row r="357" spans="2:13">
      <c r="D357" s="293">
        <f t="shared" si="39"/>
        <v>52475</v>
      </c>
      <c r="E357" s="291">
        <v>319</v>
      </c>
      <c r="F357" s="294">
        <f t="shared" si="40"/>
        <v>17407496.266514041</v>
      </c>
      <c r="G357" s="294">
        <f t="shared" si="38"/>
        <v>255808.74336133149</v>
      </c>
      <c r="H357" s="294">
        <f t="shared" si="41"/>
        <v>61651.549277237231</v>
      </c>
      <c r="I357" s="294">
        <f t="shared" si="36"/>
        <v>194157.19408409426</v>
      </c>
      <c r="J357" s="295">
        <f t="shared" si="37"/>
        <v>17213339.072429948</v>
      </c>
    </row>
    <row r="358" spans="2:13">
      <c r="D358" s="293">
        <f t="shared" si="39"/>
        <v>52505</v>
      </c>
      <c r="E358" s="291">
        <v>320</v>
      </c>
      <c r="F358" s="294">
        <f t="shared" si="40"/>
        <v>17213339.072429948</v>
      </c>
      <c r="G358" s="294">
        <f t="shared" si="38"/>
        <v>255808.74336133149</v>
      </c>
      <c r="H358" s="294">
        <f t="shared" si="41"/>
        <v>60963.909214856067</v>
      </c>
      <c r="I358" s="294">
        <f t="shared" si="36"/>
        <v>194844.83414647542</v>
      </c>
      <c r="J358" s="295">
        <f t="shared" si="37"/>
        <v>17018494.23828347</v>
      </c>
    </row>
    <row r="359" spans="2:13">
      <c r="D359" s="293">
        <f t="shared" si="39"/>
        <v>52536</v>
      </c>
      <c r="E359" s="291">
        <v>321</v>
      </c>
      <c r="F359" s="294">
        <f t="shared" si="40"/>
        <v>17018494.23828347</v>
      </c>
      <c r="G359" s="294">
        <f t="shared" si="38"/>
        <v>255808.74336133149</v>
      </c>
      <c r="H359" s="294">
        <f t="shared" si="41"/>
        <v>60273.833760587295</v>
      </c>
      <c r="I359" s="294">
        <f t="shared" ref="I359:I398" si="42">IF(E359&lt;=$I$9,0,$C$9-H359)</f>
        <v>195534.9096007442</v>
      </c>
      <c r="J359" s="295">
        <f t="shared" ref="J359:J397" si="43">F359-I359</f>
        <v>16822959.328682724</v>
      </c>
    </row>
    <row r="360" spans="2:13">
      <c r="D360" s="293">
        <f t="shared" si="39"/>
        <v>52566</v>
      </c>
      <c r="E360" s="291">
        <v>322</v>
      </c>
      <c r="F360" s="294">
        <f t="shared" si="40"/>
        <v>16822959.328682724</v>
      </c>
      <c r="G360" s="294">
        <f t="shared" ref="G360:G398" si="44">H360+I360</f>
        <v>255808.74336133146</v>
      </c>
      <c r="H360" s="294">
        <f t="shared" si="41"/>
        <v>59581.31428908465</v>
      </c>
      <c r="I360" s="294">
        <f t="shared" si="42"/>
        <v>196227.42907224683</v>
      </c>
      <c r="J360" s="295">
        <f t="shared" si="43"/>
        <v>16626731.899610478</v>
      </c>
    </row>
    <row r="361" spans="2:13">
      <c r="D361" s="293">
        <f t="shared" ref="D361:D398" si="45">DATE(YEAR(D360),MONTH(D360)+1,1)</f>
        <v>52597</v>
      </c>
      <c r="E361" s="291">
        <v>323</v>
      </c>
      <c r="F361" s="294">
        <f t="shared" ref="F361:F398" si="46">J360</f>
        <v>16626731.899610478</v>
      </c>
      <c r="G361" s="294">
        <f t="shared" si="44"/>
        <v>255808.74336133149</v>
      </c>
      <c r="H361" s="294">
        <f t="shared" ref="H361:H398" si="47">$C$6*F361</f>
        <v>58886.342144453782</v>
      </c>
      <c r="I361" s="294">
        <f t="shared" si="42"/>
        <v>196922.40121687771</v>
      </c>
      <c r="J361" s="295">
        <f t="shared" si="43"/>
        <v>16429809.498393601</v>
      </c>
    </row>
    <row r="362" spans="2:13">
      <c r="D362" s="293">
        <f t="shared" si="45"/>
        <v>52628</v>
      </c>
      <c r="E362" s="291">
        <v>324</v>
      </c>
      <c r="F362" s="294">
        <f t="shared" si="46"/>
        <v>16429809.498393601</v>
      </c>
      <c r="G362" s="294">
        <f t="shared" si="44"/>
        <v>255808.74336133149</v>
      </c>
      <c r="H362" s="294">
        <f t="shared" si="47"/>
        <v>58188.908640144007</v>
      </c>
      <c r="I362" s="294">
        <f t="shared" si="42"/>
        <v>197619.83472118748</v>
      </c>
      <c r="J362" s="301">
        <f t="shared" si="43"/>
        <v>16232189.663672414</v>
      </c>
      <c r="K362" s="302">
        <f>SUM(H351:H362)</f>
        <v>743760.29149927618</v>
      </c>
      <c r="L362" s="302">
        <f>SUM(I351:I362)</f>
        <v>2325944.6288367021</v>
      </c>
      <c r="M362" s="302">
        <f>SUM(K362:L362)</f>
        <v>3069704.9203359783</v>
      </c>
    </row>
    <row r="363" spans="2:13">
      <c r="B363" s="329">
        <v>28</v>
      </c>
      <c r="C363" s="303">
        <f>C351+1</f>
        <v>2044</v>
      </c>
      <c r="D363" s="293">
        <f t="shared" si="45"/>
        <v>52657</v>
      </c>
      <c r="E363" s="304">
        <v>325</v>
      </c>
      <c r="F363" s="305">
        <f t="shared" si="46"/>
        <v>16232189.663672414</v>
      </c>
      <c r="G363" s="305">
        <f t="shared" si="44"/>
        <v>255808.74336133149</v>
      </c>
      <c r="H363" s="305">
        <f t="shared" si="47"/>
        <v>57489.005058839801</v>
      </c>
      <c r="I363" s="305">
        <f t="shared" si="42"/>
        <v>198319.73830249169</v>
      </c>
      <c r="J363" s="306">
        <f t="shared" si="43"/>
        <v>16033869.925369922</v>
      </c>
      <c r="K363" s="307"/>
      <c r="L363" s="307"/>
      <c r="M363" s="307"/>
    </row>
    <row r="364" spans="2:13">
      <c r="D364" s="293">
        <f t="shared" si="45"/>
        <v>52688</v>
      </c>
      <c r="E364" s="308">
        <v>326</v>
      </c>
      <c r="F364" s="309">
        <f t="shared" si="46"/>
        <v>16033869.925369922</v>
      </c>
      <c r="G364" s="309">
        <f t="shared" si="44"/>
        <v>255808.74336133146</v>
      </c>
      <c r="H364" s="309">
        <f t="shared" si="47"/>
        <v>56786.622652351813</v>
      </c>
      <c r="I364" s="309">
        <f t="shared" si="42"/>
        <v>199022.12070897967</v>
      </c>
      <c r="J364" s="310">
        <f t="shared" si="43"/>
        <v>15834847.804660942</v>
      </c>
      <c r="K364" s="311"/>
      <c r="L364" s="311"/>
      <c r="M364" s="311"/>
    </row>
    <row r="365" spans="2:13">
      <c r="D365" s="293">
        <f t="shared" si="45"/>
        <v>52718</v>
      </c>
      <c r="E365" s="308">
        <v>327</v>
      </c>
      <c r="F365" s="309">
        <f t="shared" si="46"/>
        <v>15834847.804660942</v>
      </c>
      <c r="G365" s="309">
        <f t="shared" si="44"/>
        <v>255808.74336133149</v>
      </c>
      <c r="H365" s="309">
        <f t="shared" si="47"/>
        <v>56081.752641507512</v>
      </c>
      <c r="I365" s="309">
        <f t="shared" si="42"/>
        <v>199726.99071982398</v>
      </c>
      <c r="J365" s="310">
        <f t="shared" si="43"/>
        <v>15635120.813941119</v>
      </c>
      <c r="K365" s="312"/>
      <c r="L365" s="312"/>
      <c r="M365" s="312"/>
    </row>
    <row r="366" spans="2:13">
      <c r="D366" s="293">
        <f t="shared" si="45"/>
        <v>52749</v>
      </c>
      <c r="E366" s="308">
        <v>328</v>
      </c>
      <c r="F366" s="309">
        <f t="shared" si="46"/>
        <v>15635120.813941119</v>
      </c>
      <c r="G366" s="309">
        <f t="shared" si="44"/>
        <v>255808.74336133149</v>
      </c>
      <c r="H366" s="309">
        <f t="shared" si="47"/>
        <v>55374.386216041465</v>
      </c>
      <c r="I366" s="309">
        <f t="shared" si="42"/>
        <v>200434.35714529004</v>
      </c>
      <c r="J366" s="310">
        <f t="shared" si="43"/>
        <v>15434686.456795828</v>
      </c>
      <c r="K366" s="312"/>
      <c r="L366" s="312"/>
      <c r="M366" s="312"/>
    </row>
    <row r="367" spans="2:13">
      <c r="D367" s="293">
        <f t="shared" si="45"/>
        <v>52779</v>
      </c>
      <c r="E367" s="308">
        <v>329</v>
      </c>
      <c r="F367" s="309">
        <f t="shared" si="46"/>
        <v>15434686.456795828</v>
      </c>
      <c r="G367" s="309">
        <f t="shared" si="44"/>
        <v>255808.74336133149</v>
      </c>
      <c r="H367" s="309">
        <f t="shared" si="47"/>
        <v>54664.514534485228</v>
      </c>
      <c r="I367" s="309">
        <f t="shared" si="42"/>
        <v>201144.22882684626</v>
      </c>
      <c r="J367" s="310">
        <f t="shared" si="43"/>
        <v>15233542.227968981</v>
      </c>
      <c r="K367" s="312"/>
      <c r="L367" s="312"/>
      <c r="M367" s="312"/>
    </row>
    <row r="368" spans="2:13">
      <c r="D368" s="293">
        <f t="shared" si="45"/>
        <v>52810</v>
      </c>
      <c r="E368" s="308">
        <v>330</v>
      </c>
      <c r="F368" s="309">
        <f t="shared" si="46"/>
        <v>15233542.227968981</v>
      </c>
      <c r="G368" s="309">
        <f t="shared" si="44"/>
        <v>255808.74336133149</v>
      </c>
      <c r="H368" s="309">
        <f t="shared" si="47"/>
        <v>53952.128724056813</v>
      </c>
      <c r="I368" s="309">
        <f t="shared" si="42"/>
        <v>201856.61463727467</v>
      </c>
      <c r="J368" s="310">
        <f t="shared" si="43"/>
        <v>15031685.613331707</v>
      </c>
      <c r="K368" s="312"/>
      <c r="L368" s="312"/>
      <c r="M368" s="312"/>
    </row>
    <row r="369" spans="2:13">
      <c r="D369" s="293">
        <f t="shared" si="45"/>
        <v>52841</v>
      </c>
      <c r="E369" s="308">
        <v>331</v>
      </c>
      <c r="F369" s="309">
        <f t="shared" si="46"/>
        <v>15031685.613331707</v>
      </c>
      <c r="G369" s="309">
        <f t="shared" si="44"/>
        <v>255808.74336133149</v>
      </c>
      <c r="H369" s="309">
        <f t="shared" si="47"/>
        <v>53237.219880549797</v>
      </c>
      <c r="I369" s="309">
        <f t="shared" si="42"/>
        <v>202571.5234807817</v>
      </c>
      <c r="J369" s="310">
        <f t="shared" si="43"/>
        <v>14829114.089850925</v>
      </c>
      <c r="K369" s="312"/>
      <c r="L369" s="312"/>
      <c r="M369" s="312"/>
    </row>
    <row r="370" spans="2:13">
      <c r="D370" s="293">
        <f t="shared" si="45"/>
        <v>52871</v>
      </c>
      <c r="E370" s="308">
        <v>332</v>
      </c>
      <c r="F370" s="309">
        <f t="shared" si="46"/>
        <v>14829114.089850925</v>
      </c>
      <c r="G370" s="309">
        <f t="shared" si="44"/>
        <v>255808.74336133149</v>
      </c>
      <c r="H370" s="309">
        <f t="shared" si="47"/>
        <v>52519.779068222029</v>
      </c>
      <c r="I370" s="309">
        <f t="shared" si="42"/>
        <v>203288.96429310946</v>
      </c>
      <c r="J370" s="310">
        <f t="shared" si="43"/>
        <v>14625825.125557816</v>
      </c>
      <c r="K370" s="312"/>
      <c r="L370" s="312"/>
      <c r="M370" s="312"/>
    </row>
    <row r="371" spans="2:13">
      <c r="D371" s="293">
        <f t="shared" si="45"/>
        <v>52902</v>
      </c>
      <c r="E371" s="308">
        <v>333</v>
      </c>
      <c r="F371" s="309">
        <f t="shared" si="46"/>
        <v>14625825.125557816</v>
      </c>
      <c r="G371" s="309">
        <f t="shared" si="44"/>
        <v>255808.74336133149</v>
      </c>
      <c r="H371" s="309">
        <f t="shared" si="47"/>
        <v>51799.797319683938</v>
      </c>
      <c r="I371" s="309">
        <f t="shared" si="42"/>
        <v>204008.94604164755</v>
      </c>
      <c r="J371" s="310">
        <f t="shared" si="43"/>
        <v>14421816.179516168</v>
      </c>
      <c r="K371" s="312"/>
      <c r="L371" s="312"/>
      <c r="M371" s="312"/>
    </row>
    <row r="372" spans="2:13">
      <c r="D372" s="293">
        <f t="shared" si="45"/>
        <v>52932</v>
      </c>
      <c r="E372" s="308">
        <v>334</v>
      </c>
      <c r="F372" s="309">
        <f t="shared" si="46"/>
        <v>14421816.179516168</v>
      </c>
      <c r="G372" s="309">
        <f t="shared" si="44"/>
        <v>255808.74336133149</v>
      </c>
      <c r="H372" s="309">
        <f t="shared" si="47"/>
        <v>51077.265635786433</v>
      </c>
      <c r="I372" s="309">
        <f t="shared" si="42"/>
        <v>204731.47772554506</v>
      </c>
      <c r="J372" s="310">
        <f t="shared" si="43"/>
        <v>14217084.701790623</v>
      </c>
      <c r="K372" s="312"/>
      <c r="L372" s="312"/>
      <c r="M372" s="312"/>
    </row>
    <row r="373" spans="2:13">
      <c r="D373" s="293">
        <f t="shared" si="45"/>
        <v>52963</v>
      </c>
      <c r="E373" s="308">
        <v>335</v>
      </c>
      <c r="F373" s="309">
        <f t="shared" si="46"/>
        <v>14217084.701790623</v>
      </c>
      <c r="G373" s="309">
        <f t="shared" si="44"/>
        <v>255808.74336133149</v>
      </c>
      <c r="H373" s="309">
        <f t="shared" si="47"/>
        <v>50352.174985508464</v>
      </c>
      <c r="I373" s="309">
        <f t="shared" si="42"/>
        <v>205456.56837582303</v>
      </c>
      <c r="J373" s="310">
        <f t="shared" si="43"/>
        <v>14011628.133414801</v>
      </c>
      <c r="K373" s="312"/>
      <c r="L373" s="312"/>
      <c r="M373" s="312"/>
    </row>
    <row r="374" spans="2:13">
      <c r="D374" s="293">
        <f t="shared" si="45"/>
        <v>52994</v>
      </c>
      <c r="E374" s="314">
        <v>336</v>
      </c>
      <c r="F374" s="315">
        <f t="shared" si="46"/>
        <v>14011628.133414801</v>
      </c>
      <c r="G374" s="315">
        <f t="shared" si="44"/>
        <v>255808.74336133149</v>
      </c>
      <c r="H374" s="315">
        <f t="shared" si="47"/>
        <v>49624.516305844088</v>
      </c>
      <c r="I374" s="315">
        <f t="shared" si="42"/>
        <v>206184.2270554874</v>
      </c>
      <c r="J374" s="316">
        <f t="shared" si="43"/>
        <v>13805443.906359313</v>
      </c>
      <c r="K374" s="317">
        <f>SUM(H363:H374)</f>
        <v>642959.16302287742</v>
      </c>
      <c r="L374" s="317">
        <f>SUM(I363:I374)</f>
        <v>2426745.7573131002</v>
      </c>
      <c r="M374" s="317">
        <f>SUM(K374:L374)</f>
        <v>3069704.9203359773</v>
      </c>
    </row>
    <row r="375" spans="2:13">
      <c r="B375" s="329">
        <v>29</v>
      </c>
      <c r="C375" s="303">
        <f>C363+1</f>
        <v>2045</v>
      </c>
      <c r="D375" s="293">
        <f t="shared" si="45"/>
        <v>53022</v>
      </c>
      <c r="E375" s="321">
        <v>337</v>
      </c>
      <c r="F375" s="322">
        <f t="shared" si="46"/>
        <v>13805443.906359313</v>
      </c>
      <c r="G375" s="322">
        <f t="shared" si="44"/>
        <v>255808.74336133149</v>
      </c>
      <c r="H375" s="322">
        <f t="shared" si="47"/>
        <v>48894.280501689238</v>
      </c>
      <c r="I375" s="322">
        <f t="shared" si="42"/>
        <v>206914.46285964226</v>
      </c>
      <c r="J375" s="323">
        <f t="shared" si="43"/>
        <v>13598529.443499671</v>
      </c>
      <c r="K375" s="259"/>
      <c r="L375" s="259"/>
      <c r="M375" s="259"/>
    </row>
    <row r="376" spans="2:13">
      <c r="D376" s="293">
        <f t="shared" si="45"/>
        <v>53053</v>
      </c>
      <c r="E376" s="291">
        <v>338</v>
      </c>
      <c r="F376" s="294">
        <f t="shared" si="46"/>
        <v>13598529.443499671</v>
      </c>
      <c r="G376" s="294">
        <f t="shared" si="44"/>
        <v>255808.74336133149</v>
      </c>
      <c r="H376" s="294">
        <f t="shared" si="47"/>
        <v>48161.458445728007</v>
      </c>
      <c r="I376" s="294">
        <f t="shared" si="42"/>
        <v>207647.28491560349</v>
      </c>
      <c r="J376" s="295">
        <f t="shared" si="43"/>
        <v>13390882.158584068</v>
      </c>
    </row>
    <row r="377" spans="2:13">
      <c r="D377" s="293">
        <f t="shared" si="45"/>
        <v>53083</v>
      </c>
      <c r="E377" s="291">
        <v>339</v>
      </c>
      <c r="F377" s="294">
        <f t="shared" si="46"/>
        <v>13390882.158584068</v>
      </c>
      <c r="G377" s="294">
        <f t="shared" si="44"/>
        <v>255808.74336133149</v>
      </c>
      <c r="H377" s="294">
        <f t="shared" si="47"/>
        <v>47426.040978318575</v>
      </c>
      <c r="I377" s="294">
        <f t="shared" si="42"/>
        <v>208382.70238301292</v>
      </c>
      <c r="J377" s="295">
        <f t="shared" si="43"/>
        <v>13182499.456201054</v>
      </c>
    </row>
    <row r="378" spans="2:13">
      <c r="D378" s="293">
        <f t="shared" si="45"/>
        <v>53114</v>
      </c>
      <c r="E378" s="291">
        <v>340</v>
      </c>
      <c r="F378" s="294">
        <f t="shared" si="46"/>
        <v>13182499.456201054</v>
      </c>
      <c r="G378" s="294">
        <f t="shared" si="44"/>
        <v>255808.74336133146</v>
      </c>
      <c r="H378" s="294">
        <f t="shared" si="47"/>
        <v>46688.018907378733</v>
      </c>
      <c r="I378" s="294">
        <f t="shared" si="42"/>
        <v>209120.72445395275</v>
      </c>
      <c r="J378" s="295">
        <f t="shared" si="43"/>
        <v>12973378.731747102</v>
      </c>
    </row>
    <row r="379" spans="2:13">
      <c r="D379" s="293">
        <f t="shared" si="45"/>
        <v>53144</v>
      </c>
      <c r="E379" s="291">
        <v>341</v>
      </c>
      <c r="F379" s="294">
        <f t="shared" si="46"/>
        <v>12973378.731747102</v>
      </c>
      <c r="G379" s="294">
        <f t="shared" si="44"/>
        <v>255808.74336133149</v>
      </c>
      <c r="H379" s="294">
        <f t="shared" si="47"/>
        <v>45947.38300827099</v>
      </c>
      <c r="I379" s="294">
        <f t="shared" si="42"/>
        <v>209861.3603530605</v>
      </c>
      <c r="J379" s="295">
        <f t="shared" si="43"/>
        <v>12763517.371394042</v>
      </c>
    </row>
    <row r="380" spans="2:13">
      <c r="D380" s="293">
        <f t="shared" si="45"/>
        <v>53175</v>
      </c>
      <c r="E380" s="291">
        <v>342</v>
      </c>
      <c r="F380" s="294">
        <f t="shared" si="46"/>
        <v>12763517.371394042</v>
      </c>
      <c r="G380" s="294">
        <f t="shared" si="44"/>
        <v>255808.74336133149</v>
      </c>
      <c r="H380" s="294">
        <f t="shared" si="47"/>
        <v>45204.124023687233</v>
      </c>
      <c r="I380" s="294">
        <f t="shared" si="42"/>
        <v>210604.61933764425</v>
      </c>
      <c r="J380" s="295">
        <f t="shared" si="43"/>
        <v>12552912.752056397</v>
      </c>
    </row>
    <row r="381" spans="2:13">
      <c r="D381" s="293">
        <f t="shared" si="45"/>
        <v>53206</v>
      </c>
      <c r="E381" s="291">
        <v>343</v>
      </c>
      <c r="F381" s="294">
        <f t="shared" si="46"/>
        <v>12552912.752056397</v>
      </c>
      <c r="G381" s="294">
        <f t="shared" si="44"/>
        <v>255808.74336133149</v>
      </c>
      <c r="H381" s="294">
        <f t="shared" si="47"/>
        <v>44458.232663533076</v>
      </c>
      <c r="I381" s="294">
        <f t="shared" si="42"/>
        <v>211350.51069779843</v>
      </c>
      <c r="J381" s="295">
        <f t="shared" si="43"/>
        <v>12341562.241358599</v>
      </c>
    </row>
    <row r="382" spans="2:13">
      <c r="D382" s="293">
        <f t="shared" si="45"/>
        <v>53236</v>
      </c>
      <c r="E382" s="291">
        <v>344</v>
      </c>
      <c r="F382" s="294">
        <f t="shared" si="46"/>
        <v>12341562.241358599</v>
      </c>
      <c r="G382" s="294">
        <f t="shared" si="44"/>
        <v>255808.74336133149</v>
      </c>
      <c r="H382" s="294">
        <f t="shared" si="47"/>
        <v>43709.699604811707</v>
      </c>
      <c r="I382" s="294">
        <f t="shared" si="42"/>
        <v>212099.04375651979</v>
      </c>
      <c r="J382" s="295">
        <f t="shared" si="43"/>
        <v>12129463.197602078</v>
      </c>
    </row>
    <row r="383" spans="2:13">
      <c r="D383" s="293">
        <f t="shared" si="45"/>
        <v>53267</v>
      </c>
      <c r="E383" s="291">
        <v>345</v>
      </c>
      <c r="F383" s="294">
        <f t="shared" si="46"/>
        <v>12129463.197602078</v>
      </c>
      <c r="G383" s="294">
        <f t="shared" si="44"/>
        <v>255808.74336133149</v>
      </c>
      <c r="H383" s="294">
        <f t="shared" si="47"/>
        <v>42958.515491507365</v>
      </c>
      <c r="I383" s="294">
        <f t="shared" si="42"/>
        <v>212850.22786982413</v>
      </c>
      <c r="J383" s="295">
        <f t="shared" si="43"/>
        <v>11916612.969732255</v>
      </c>
    </row>
    <row r="384" spans="2:13">
      <c r="D384" s="293">
        <f t="shared" si="45"/>
        <v>53297</v>
      </c>
      <c r="E384" s="291">
        <v>346</v>
      </c>
      <c r="F384" s="294">
        <f t="shared" si="46"/>
        <v>11916612.969732255</v>
      </c>
      <c r="G384" s="294">
        <f t="shared" si="44"/>
        <v>255808.74336133146</v>
      </c>
      <c r="H384" s="294">
        <f t="shared" si="47"/>
        <v>42204.670934468406</v>
      </c>
      <c r="I384" s="294">
        <f t="shared" si="42"/>
        <v>213604.07242686307</v>
      </c>
      <c r="J384" s="295">
        <f t="shared" si="43"/>
        <v>11703008.897305392</v>
      </c>
    </row>
    <row r="385" spans="2:13">
      <c r="D385" s="293">
        <f t="shared" si="45"/>
        <v>53328</v>
      </c>
      <c r="E385" s="291">
        <v>347</v>
      </c>
      <c r="F385" s="294">
        <f t="shared" si="46"/>
        <v>11703008.897305392</v>
      </c>
      <c r="G385" s="294">
        <f t="shared" si="44"/>
        <v>255808.74336133149</v>
      </c>
      <c r="H385" s="294">
        <f t="shared" si="47"/>
        <v>41448.156511289933</v>
      </c>
      <c r="I385" s="294">
        <f t="shared" si="42"/>
        <v>214360.58685004155</v>
      </c>
      <c r="J385" s="295">
        <f t="shared" si="43"/>
        <v>11488648.31045535</v>
      </c>
    </row>
    <row r="386" spans="2:13">
      <c r="D386" s="293">
        <f t="shared" si="45"/>
        <v>53359</v>
      </c>
      <c r="E386" s="291">
        <v>348</v>
      </c>
      <c r="F386" s="294">
        <f t="shared" si="46"/>
        <v>11488648.31045535</v>
      </c>
      <c r="G386" s="294">
        <f t="shared" si="44"/>
        <v>255808.74336133149</v>
      </c>
      <c r="H386" s="294">
        <f t="shared" si="47"/>
        <v>40688.962766196033</v>
      </c>
      <c r="I386" s="294">
        <f t="shared" si="42"/>
        <v>215119.78059513547</v>
      </c>
      <c r="J386" s="301">
        <f t="shared" si="43"/>
        <v>11273528.529860215</v>
      </c>
      <c r="K386" s="302">
        <f>SUM(H375:H386)</f>
        <v>537789.54383687931</v>
      </c>
      <c r="L386" s="302">
        <f>SUM(I375:I386)</f>
        <v>2531915.3764990983</v>
      </c>
      <c r="M386" s="302">
        <f>SUM(K386:L386)</f>
        <v>3069704.9203359773</v>
      </c>
    </row>
    <row r="387" spans="2:13">
      <c r="B387" s="329">
        <v>30</v>
      </c>
      <c r="C387" s="303">
        <f>C375+1</f>
        <v>2046</v>
      </c>
      <c r="D387" s="293">
        <f t="shared" si="45"/>
        <v>53387</v>
      </c>
      <c r="E387" s="304">
        <v>349</v>
      </c>
      <c r="F387" s="305">
        <f t="shared" si="46"/>
        <v>11273528.529860215</v>
      </c>
      <c r="G387" s="305">
        <f t="shared" si="44"/>
        <v>255808.74336133149</v>
      </c>
      <c r="H387" s="305">
        <f t="shared" si="47"/>
        <v>39927.080209921602</v>
      </c>
      <c r="I387" s="305">
        <f t="shared" si="42"/>
        <v>215881.66315140988</v>
      </c>
      <c r="J387" s="306">
        <f t="shared" si="43"/>
        <v>11057646.866708806</v>
      </c>
      <c r="K387" s="307"/>
      <c r="L387" s="307"/>
      <c r="M387" s="307"/>
    </row>
    <row r="388" spans="2:13">
      <c r="D388" s="293">
        <f t="shared" si="45"/>
        <v>53418</v>
      </c>
      <c r="E388" s="308">
        <v>350</v>
      </c>
      <c r="F388" s="309">
        <f t="shared" si="46"/>
        <v>11057646.866708806</v>
      </c>
      <c r="G388" s="309">
        <f t="shared" si="44"/>
        <v>255808.74336133149</v>
      </c>
      <c r="H388" s="309">
        <f t="shared" si="47"/>
        <v>39162.499319593691</v>
      </c>
      <c r="I388" s="309">
        <f t="shared" si="42"/>
        <v>216646.24404173781</v>
      </c>
      <c r="J388" s="310">
        <f t="shared" si="43"/>
        <v>10841000.622667069</v>
      </c>
      <c r="K388" s="311"/>
      <c r="L388" s="311"/>
      <c r="M388" s="311"/>
    </row>
    <row r="389" spans="2:13">
      <c r="D389" s="293">
        <f t="shared" si="45"/>
        <v>53448</v>
      </c>
      <c r="E389" s="308">
        <v>351</v>
      </c>
      <c r="F389" s="309">
        <f t="shared" si="46"/>
        <v>10841000.622667069</v>
      </c>
      <c r="G389" s="309">
        <f t="shared" si="44"/>
        <v>255808.74336133149</v>
      </c>
      <c r="H389" s="309">
        <f t="shared" si="47"/>
        <v>38395.21053861254</v>
      </c>
      <c r="I389" s="309">
        <f t="shared" si="42"/>
        <v>217413.53282271896</v>
      </c>
      <c r="J389" s="310">
        <f t="shared" si="43"/>
        <v>10623587.08984435</v>
      </c>
      <c r="K389" s="312"/>
      <c r="L389" s="312"/>
      <c r="M389" s="312"/>
    </row>
    <row r="390" spans="2:13">
      <c r="D390" s="293">
        <f t="shared" si="45"/>
        <v>53479</v>
      </c>
      <c r="E390" s="308">
        <v>352</v>
      </c>
      <c r="F390" s="309">
        <f t="shared" si="46"/>
        <v>10623587.08984435</v>
      </c>
      <c r="G390" s="309">
        <f t="shared" si="44"/>
        <v>255808.74336133149</v>
      </c>
      <c r="H390" s="309">
        <f t="shared" si="47"/>
        <v>37625.204276532073</v>
      </c>
      <c r="I390" s="309">
        <f t="shared" si="42"/>
        <v>218183.53908479941</v>
      </c>
      <c r="J390" s="310">
        <f t="shared" si="43"/>
        <v>10405403.55075955</v>
      </c>
      <c r="K390" s="312"/>
      <c r="L390" s="312"/>
      <c r="M390" s="312"/>
    </row>
    <row r="391" spans="2:13">
      <c r="D391" s="293">
        <f t="shared" si="45"/>
        <v>53509</v>
      </c>
      <c r="E391" s="308">
        <v>353</v>
      </c>
      <c r="F391" s="309">
        <f t="shared" si="46"/>
        <v>10405403.55075955</v>
      </c>
      <c r="G391" s="309">
        <f t="shared" si="44"/>
        <v>255808.74336133149</v>
      </c>
      <c r="H391" s="309">
        <f t="shared" si="47"/>
        <v>36852.470908940079</v>
      </c>
      <c r="I391" s="309">
        <f t="shared" si="42"/>
        <v>218956.27245239142</v>
      </c>
      <c r="J391" s="310">
        <f t="shared" si="43"/>
        <v>10186447.278307158</v>
      </c>
      <c r="K391" s="312"/>
      <c r="L391" s="312"/>
      <c r="M391" s="312"/>
    </row>
    <row r="392" spans="2:13">
      <c r="D392" s="293">
        <f t="shared" si="45"/>
        <v>53540</v>
      </c>
      <c r="E392" s="308">
        <v>354</v>
      </c>
      <c r="F392" s="309">
        <f t="shared" si="46"/>
        <v>10186447.278307158</v>
      </c>
      <c r="G392" s="309">
        <f t="shared" si="44"/>
        <v>255808.74336133149</v>
      </c>
      <c r="H392" s="309">
        <f t="shared" si="47"/>
        <v>36077.000777337853</v>
      </c>
      <c r="I392" s="309">
        <f t="shared" si="42"/>
        <v>219731.74258399365</v>
      </c>
      <c r="J392" s="310">
        <f t="shared" si="43"/>
        <v>9966715.5357231647</v>
      </c>
      <c r="K392" s="312"/>
      <c r="L392" s="312"/>
      <c r="M392" s="312"/>
    </row>
    <row r="393" spans="2:13">
      <c r="D393" s="293">
        <f t="shared" si="45"/>
        <v>53571</v>
      </c>
      <c r="E393" s="308">
        <v>355</v>
      </c>
      <c r="F393" s="309">
        <f t="shared" si="46"/>
        <v>9966715.5357231647</v>
      </c>
      <c r="G393" s="309">
        <f t="shared" si="44"/>
        <v>255808.74336133146</v>
      </c>
      <c r="H393" s="309">
        <f t="shared" si="47"/>
        <v>35298.784189019541</v>
      </c>
      <c r="I393" s="309">
        <f t="shared" si="42"/>
        <v>220509.95917231194</v>
      </c>
      <c r="J393" s="310">
        <f t="shared" si="43"/>
        <v>9746205.5765508525</v>
      </c>
      <c r="K393" s="312"/>
      <c r="L393" s="312"/>
      <c r="M393" s="312"/>
    </row>
    <row r="394" spans="2:13">
      <c r="D394" s="293">
        <f t="shared" si="45"/>
        <v>53601</v>
      </c>
      <c r="E394" s="308">
        <v>356</v>
      </c>
      <c r="F394" s="309">
        <f t="shared" si="46"/>
        <v>9746205.5765508525</v>
      </c>
      <c r="G394" s="309">
        <f t="shared" si="44"/>
        <v>255808.74336133152</v>
      </c>
      <c r="H394" s="309">
        <f t="shared" si="47"/>
        <v>34517.811416950935</v>
      </c>
      <c r="I394" s="309">
        <f t="shared" si="42"/>
        <v>221290.93194438057</v>
      </c>
      <c r="J394" s="310">
        <f t="shared" si="43"/>
        <v>9524914.6446064711</v>
      </c>
      <c r="K394" s="312"/>
      <c r="L394" s="312"/>
      <c r="M394" s="312"/>
    </row>
    <row r="395" spans="2:13">
      <c r="D395" s="293">
        <f t="shared" si="45"/>
        <v>53632</v>
      </c>
      <c r="E395" s="308">
        <v>357</v>
      </c>
      <c r="F395" s="309">
        <f t="shared" si="46"/>
        <v>9524914.6446064711</v>
      </c>
      <c r="G395" s="309">
        <f t="shared" si="44"/>
        <v>255808.74336133149</v>
      </c>
      <c r="H395" s="309">
        <f t="shared" si="47"/>
        <v>33734.072699647921</v>
      </c>
      <c r="I395" s="309">
        <f t="shared" si="42"/>
        <v>222074.67066168357</v>
      </c>
      <c r="J395" s="310">
        <f t="shared" si="43"/>
        <v>9302839.9739447869</v>
      </c>
      <c r="K395" s="312"/>
      <c r="L395" s="312"/>
      <c r="M395" s="312"/>
    </row>
    <row r="396" spans="2:13">
      <c r="D396" s="293">
        <f t="shared" si="45"/>
        <v>53662</v>
      </c>
      <c r="E396" s="308">
        <v>358</v>
      </c>
      <c r="F396" s="309">
        <f t="shared" si="46"/>
        <v>9302839.9739447869</v>
      </c>
      <c r="G396" s="309">
        <f t="shared" si="44"/>
        <v>255808.74336133152</v>
      </c>
      <c r="H396" s="309">
        <f t="shared" si="47"/>
        <v>32947.558241054459</v>
      </c>
      <c r="I396" s="309">
        <f t="shared" si="42"/>
        <v>222861.18512027705</v>
      </c>
      <c r="J396" s="310">
        <f t="shared" si="43"/>
        <v>9079978.7888245098</v>
      </c>
      <c r="K396" s="312"/>
      <c r="L396" s="312"/>
      <c r="M396" s="312"/>
    </row>
    <row r="397" spans="2:13">
      <c r="D397" s="293">
        <f t="shared" si="45"/>
        <v>53693</v>
      </c>
      <c r="E397" s="308">
        <v>359</v>
      </c>
      <c r="F397" s="309">
        <f t="shared" si="46"/>
        <v>9079978.7888245098</v>
      </c>
      <c r="G397" s="309">
        <f t="shared" si="44"/>
        <v>255808.74336133149</v>
      </c>
      <c r="H397" s="309">
        <f t="shared" si="47"/>
        <v>32158.258210420143</v>
      </c>
      <c r="I397" s="309">
        <f t="shared" si="42"/>
        <v>223650.48515091135</v>
      </c>
      <c r="J397" s="310">
        <f t="shared" si="43"/>
        <v>8856328.3036735989</v>
      </c>
      <c r="K397" s="312"/>
      <c r="L397" s="312"/>
      <c r="M397" s="312"/>
    </row>
    <row r="398" spans="2:13">
      <c r="D398" s="293">
        <f t="shared" si="45"/>
        <v>53724</v>
      </c>
      <c r="E398" s="314">
        <v>360</v>
      </c>
      <c r="F398" s="315">
        <f t="shared" si="46"/>
        <v>8856328.3036735989</v>
      </c>
      <c r="G398" s="315">
        <f t="shared" si="44"/>
        <v>255808.74336133146</v>
      </c>
      <c r="H398" s="315">
        <f t="shared" si="47"/>
        <v>31366.16274217733</v>
      </c>
      <c r="I398" s="315">
        <f t="shared" si="42"/>
        <v>224442.58061915415</v>
      </c>
      <c r="J398" s="316">
        <f>F398-I398</f>
        <v>8631885.7230544444</v>
      </c>
      <c r="K398" s="317">
        <f>SUM(H387:H398)</f>
        <v>428062.11353020818</v>
      </c>
      <c r="L398" s="317">
        <f>SUM(I387:I398)</f>
        <v>2641642.8068057694</v>
      </c>
      <c r="M398" s="317">
        <f>SUM(K398:L398)</f>
        <v>3069704.9203359778</v>
      </c>
    </row>
    <row r="402" spans="3:4">
      <c r="C402" s="330"/>
      <c r="D402" s="330"/>
    </row>
  </sheetData>
  <conditionalFormatting sqref="F15:F25">
    <cfRule type="cellIs" dxfId="1" priority="6" operator="equal">
      <formula>0</formula>
    </cfRule>
  </conditionalFormatting>
  <conditionalFormatting sqref="C32:M32">
    <cfRule type="cellIs" dxfId="0" priority="5" operator="equal">
      <formula>0</formula>
    </cfRule>
  </conditionalFormatting>
  <pageMargins left="0.75" right="0.75" top="1" bottom="1" header="0.5" footer="0.5"/>
  <pageSetup scale="60"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7</vt:i4>
      </vt:variant>
    </vt:vector>
  </HeadingPairs>
  <TitlesOfParts>
    <vt:vector size="13" baseType="lpstr">
      <vt:lpstr>Description</vt:lpstr>
      <vt:lpstr>Projection</vt:lpstr>
      <vt:lpstr>Trailing-12 &amp; Pro Forma</vt:lpstr>
      <vt:lpstr>Rent Roll Summary</vt:lpstr>
      <vt:lpstr>Rent Roll Analysis</vt:lpstr>
      <vt:lpstr>Amort. Schedule</vt:lpstr>
      <vt:lpstr>Description!Print_Area</vt:lpstr>
      <vt:lpstr>Projection!Print_Area</vt:lpstr>
      <vt:lpstr>'Rent Roll Analysis'!Print_Area</vt:lpstr>
      <vt:lpstr>'Rent Roll Summary'!Print_Area</vt:lpstr>
      <vt:lpstr>'Rent Roll Analysis'!Print_Titles</vt:lpstr>
      <vt:lpstr>'Trailing-12 &amp; Pro Forma'!Print_Titles</vt:lpstr>
      <vt:lpstr>Units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Lynch</dc:creator>
  <cp:lastModifiedBy>Peter</cp:lastModifiedBy>
  <cp:lastPrinted>2017-01-27T18:09:20Z</cp:lastPrinted>
  <dcterms:created xsi:type="dcterms:W3CDTF">2016-12-06T22:40:53Z</dcterms:created>
  <dcterms:modified xsi:type="dcterms:W3CDTF">2017-02-01T13:56:18Z</dcterms:modified>
</cp:coreProperties>
</file>