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tables/table3.xml" ContentType="application/vnd.openxmlformats-officedocument.spreadsheetml.table+xml"/>
  <Override PartName="/xl/pivotTables/pivotTable2.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slicerCaches/slicerCache3.xml" ContentType="application/vnd.ms-excel.slicerCache+xml"/>
  <Override PartName="/xl/slicers/slicer2.xml" ContentType="application/vnd.ms-excel.slicer+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hidePivotFieldList="1" defaultThemeVersion="124226"/>
  <bookViews>
    <workbookView xWindow="120" yWindow="120" windowWidth="15135" windowHeight="6795" tabRatio="794" activeTab="3"/>
  </bookViews>
  <sheets>
    <sheet name="Welcome" sheetId="10" r:id="rId1"/>
    <sheet name="Customer Data Base" sheetId="6" r:id="rId2"/>
    <sheet name="Daily Report" sheetId="1" r:id="rId3"/>
    <sheet name="Date wise Pro. Status" sheetId="2" r:id="rId4"/>
    <sheet name="Month wise Pro. Status" sheetId="3" state="hidden" r:id="rId5"/>
    <sheet name="Sheet3" sheetId="13" state="hidden" r:id="rId6"/>
    <sheet name="Project Status" sheetId="11" state="hidden" r:id="rId7"/>
    <sheet name="Dash Board" sheetId="7" state="hidden" r:id="rId8"/>
  </sheets>
  <definedNames>
    <definedName name="_xlnm._FilterDatabase" localSheetId="2" hidden="1">'Daily Report'!$A$4:$AM$20</definedName>
    <definedName name="company_serial">'Customer Data Base'!$B$7:$B$29</definedName>
    <definedName name="customer_artical_number">'Customer Data Base'!$E$7:$E$29</definedName>
    <definedName name="customer_name">'Customer Data Base'!$C$7:$C$29</definedName>
    <definedName name="customer_order_number">'Customer Data Base'!$D$7:$D$29</definedName>
    <definedName name="order_color">'Customer Data Base'!$F$7:$F$29</definedName>
    <definedName name="order_qty">'Customer Data Base'!$G$7:$G$29</definedName>
    <definedName name="_xlnm.Print_Area" localSheetId="2">'Daily Report'!$A$1:$AN$22</definedName>
    <definedName name="_xlnm.Print_Area" localSheetId="7">'Dash Board'!$A$1:$J$28</definedName>
    <definedName name="_xlnm.Print_Area" localSheetId="3">'Date wise Pro. Status'!$A$1:$P$49</definedName>
    <definedName name="_xlnm.Print_Area" localSheetId="4">'Month wise Pro. Status'!$A$1:$I$19</definedName>
    <definedName name="Slicer_Serial_Number">#N/A</definedName>
    <definedName name="Status">'Daily Report'!$AP$5:$AP$8</definedName>
  </definedNames>
  <calcPr calcId="144525"/>
  <pivotCaches>
    <pivotCache cacheId="0" r:id="rId9"/>
    <pivotCache cacheId="1" r:id="rId10"/>
  </pivotCaches>
  <extLst>
    <ext xmlns:x15="http://schemas.microsoft.com/office/spreadsheetml/2010/11/main" uri="{46BE6895-7355-4a93-B00E-2C351335B9C9}">
      <x15:slicerCaches xmlns:x14="http://schemas.microsoft.com/office/spreadsheetml/2009/9/main">
        <x14:slicerCache r:id="rId13"/>
      </x15:slicerCaches>
    </ext>
  </extLst>
</workbook>
</file>

<file path=xl/calcChain.xml><?xml version="1.0" encoding="utf-8"?>
<calcChain xmlns="http://schemas.openxmlformats.org/spreadsheetml/2006/main">
  <c r="D31" i="13" l="1"/>
  <c r="D30" i="13"/>
  <c r="D29" i="13"/>
  <c r="D28" i="13"/>
  <c r="D27" i="13"/>
  <c r="D26" i="13"/>
  <c r="D25" i="13"/>
  <c r="D24" i="13"/>
  <c r="D23" i="13"/>
  <c r="D22" i="13"/>
  <c r="D21" i="13"/>
  <c r="D20" i="13"/>
  <c r="D19" i="13"/>
  <c r="D18" i="13"/>
  <c r="D17" i="13"/>
  <c r="D16" i="13"/>
  <c r="D15" i="13"/>
  <c r="D13" i="13"/>
  <c r="E31" i="13"/>
  <c r="E30" i="13"/>
  <c r="E29" i="13"/>
  <c r="E28" i="13"/>
  <c r="E27" i="13"/>
  <c r="E26" i="13"/>
  <c r="E25" i="13"/>
  <c r="E24" i="13"/>
  <c r="E23" i="13"/>
  <c r="E22" i="13"/>
  <c r="E21" i="13"/>
  <c r="E20" i="13"/>
  <c r="E19" i="13"/>
  <c r="E18" i="13"/>
  <c r="E17" i="13"/>
  <c r="E16" i="13"/>
  <c r="E15" i="13"/>
  <c r="J31" i="11"/>
  <c r="I31" i="11"/>
  <c r="H31" i="11"/>
  <c r="G31" i="11"/>
  <c r="F31" i="11"/>
  <c r="E31" i="11"/>
  <c r="D31" i="11"/>
  <c r="C31" i="11"/>
  <c r="J30" i="11"/>
  <c r="I30" i="11"/>
  <c r="H30" i="11"/>
  <c r="G30" i="11"/>
  <c r="F30" i="11"/>
  <c r="E30" i="11"/>
  <c r="D30" i="11"/>
  <c r="C30" i="11"/>
  <c r="J29" i="11"/>
  <c r="I29" i="11"/>
  <c r="H29" i="11"/>
  <c r="G29" i="11"/>
  <c r="F29" i="11"/>
  <c r="E29" i="11"/>
  <c r="D29" i="11"/>
  <c r="C29" i="11"/>
  <c r="J28" i="11"/>
  <c r="I28" i="11"/>
  <c r="H28" i="11"/>
  <c r="G28" i="11"/>
  <c r="F28" i="11"/>
  <c r="E28" i="11"/>
  <c r="D28" i="11"/>
  <c r="C28" i="11"/>
  <c r="J27" i="11"/>
  <c r="I27" i="11"/>
  <c r="H27" i="11"/>
  <c r="G27" i="11"/>
  <c r="F27" i="11"/>
  <c r="E27" i="11"/>
  <c r="D27" i="11"/>
  <c r="C27" i="11"/>
  <c r="J26" i="11"/>
  <c r="I26" i="11"/>
  <c r="H26" i="11"/>
  <c r="G26" i="11"/>
  <c r="F26" i="11"/>
  <c r="E26" i="11"/>
  <c r="D26" i="11"/>
  <c r="C26" i="11"/>
  <c r="J25" i="11"/>
  <c r="I25" i="11"/>
  <c r="H25" i="11"/>
  <c r="G25" i="11"/>
  <c r="F25" i="11"/>
  <c r="E25" i="11"/>
  <c r="D25" i="11"/>
  <c r="C25" i="11"/>
  <c r="J24" i="11"/>
  <c r="I24" i="11"/>
  <c r="H24" i="11"/>
  <c r="G24" i="11"/>
  <c r="F24" i="11"/>
  <c r="E24" i="11"/>
  <c r="D24" i="11"/>
  <c r="C24" i="11"/>
  <c r="J23" i="11"/>
  <c r="I23" i="11"/>
  <c r="H23" i="11"/>
  <c r="G23" i="11"/>
  <c r="F23" i="11"/>
  <c r="E23" i="11"/>
  <c r="D23" i="11"/>
  <c r="C23" i="11"/>
  <c r="J22" i="11"/>
  <c r="I22" i="11"/>
  <c r="H22" i="11"/>
  <c r="G22" i="11"/>
  <c r="F22" i="11"/>
  <c r="E22" i="11"/>
  <c r="D22" i="11"/>
  <c r="C22" i="11"/>
  <c r="J21" i="11"/>
  <c r="I21" i="11"/>
  <c r="H21" i="11"/>
  <c r="G21" i="11"/>
  <c r="F21" i="11"/>
  <c r="E21" i="11"/>
  <c r="D21" i="11"/>
  <c r="C21" i="11"/>
  <c r="J20" i="11"/>
  <c r="I20" i="11"/>
  <c r="H20" i="11"/>
  <c r="G20" i="11"/>
  <c r="F20" i="11"/>
  <c r="E20" i="11"/>
  <c r="D20" i="11"/>
  <c r="C20" i="11"/>
  <c r="J19" i="11"/>
  <c r="I19" i="11"/>
  <c r="H19" i="11"/>
  <c r="G19" i="11"/>
  <c r="F19" i="11"/>
  <c r="E19" i="11"/>
  <c r="D19" i="11"/>
  <c r="C19" i="11"/>
  <c r="J18" i="11"/>
  <c r="I18" i="11"/>
  <c r="H18" i="11"/>
  <c r="G18" i="11"/>
  <c r="F18" i="11"/>
  <c r="E18" i="11"/>
  <c r="D18" i="11"/>
  <c r="C18" i="11"/>
  <c r="J17" i="11"/>
  <c r="I17" i="11"/>
  <c r="H17" i="11"/>
  <c r="G17" i="11"/>
  <c r="F17" i="11"/>
  <c r="E17" i="11"/>
  <c r="D17" i="11"/>
  <c r="C17" i="11"/>
  <c r="J16" i="11"/>
  <c r="I16" i="11"/>
  <c r="H16" i="11"/>
  <c r="G16" i="11"/>
  <c r="F16" i="11"/>
  <c r="E16" i="11"/>
  <c r="D16" i="11"/>
  <c r="C16" i="11"/>
  <c r="J15" i="11"/>
  <c r="I15" i="11"/>
  <c r="H15" i="11"/>
  <c r="G15" i="11"/>
  <c r="F15" i="11"/>
  <c r="E15" i="11"/>
  <c r="D15" i="11"/>
  <c r="C15" i="11"/>
  <c r="J14" i="11"/>
  <c r="I14" i="11"/>
  <c r="H14" i="11"/>
  <c r="G14" i="11"/>
  <c r="F14" i="11"/>
  <c r="E14" i="11"/>
  <c r="D14" i="11"/>
  <c r="C14" i="11"/>
  <c r="J13" i="11"/>
  <c r="I13" i="11"/>
  <c r="H13" i="11"/>
  <c r="G13" i="11"/>
  <c r="F13" i="11"/>
  <c r="E13" i="11"/>
  <c r="D13" i="11"/>
  <c r="C13" i="11"/>
  <c r="J12" i="11"/>
  <c r="I12" i="11"/>
  <c r="H12" i="11"/>
  <c r="G12" i="11"/>
  <c r="F12" i="11"/>
  <c r="E12" i="11"/>
  <c r="D12" i="11"/>
  <c r="C12" i="11"/>
  <c r="J11" i="11"/>
  <c r="I11" i="11"/>
  <c r="H11" i="11"/>
  <c r="G11" i="11"/>
  <c r="F11" i="11"/>
  <c r="E11" i="11"/>
  <c r="D11" i="11"/>
  <c r="C11" i="11"/>
  <c r="J10" i="11"/>
  <c r="I10" i="11"/>
  <c r="G10" i="11"/>
  <c r="D14" i="13" s="1"/>
  <c r="F10" i="11"/>
  <c r="E10" i="11"/>
  <c r="D10" i="11"/>
  <c r="C10" i="11"/>
  <c r="J9" i="11"/>
  <c r="I9" i="11"/>
  <c r="G9" i="11"/>
  <c r="D9" i="13" s="1"/>
  <c r="F9" i="11"/>
  <c r="E9" i="11"/>
  <c r="D9" i="11"/>
  <c r="C9" i="11"/>
  <c r="C8" i="11"/>
  <c r="D8" i="11"/>
  <c r="E8" i="11"/>
  <c r="F8" i="11"/>
  <c r="G8" i="11"/>
  <c r="D10" i="13" s="1"/>
  <c r="I8" i="11"/>
  <c r="J8" i="11"/>
  <c r="I29" i="6"/>
  <c r="I28" i="6"/>
  <c r="I27" i="6"/>
  <c r="I26" i="6"/>
  <c r="I25" i="6"/>
  <c r="I24" i="6"/>
  <c r="I23" i="6"/>
  <c r="I22" i="6"/>
  <c r="I21" i="6"/>
  <c r="I20" i="6"/>
  <c r="I19" i="6"/>
  <c r="I18" i="6"/>
  <c r="I17" i="6"/>
  <c r="I16" i="6"/>
  <c r="I15" i="6"/>
  <c r="I14" i="6"/>
  <c r="I13" i="6"/>
  <c r="I12" i="6"/>
  <c r="I11" i="6"/>
  <c r="H10" i="11" s="1"/>
  <c r="I10" i="6"/>
  <c r="I9" i="6"/>
  <c r="H9" i="11" s="1"/>
  <c r="I8" i="6"/>
  <c r="H8" i="11" s="1"/>
  <c r="I7" i="6"/>
  <c r="H7" i="11" s="1"/>
  <c r="J7" i="11"/>
  <c r="I7" i="11"/>
  <c r="G7" i="11"/>
  <c r="D11" i="13" s="1"/>
  <c r="F7" i="11"/>
  <c r="E7" i="11"/>
  <c r="D7" i="11"/>
  <c r="C7" i="11"/>
  <c r="H19" i="1"/>
  <c r="G19" i="1"/>
  <c r="F19" i="1"/>
  <c r="E19" i="1"/>
  <c r="D19" i="1"/>
  <c r="H18" i="1"/>
  <c r="G18" i="1"/>
  <c r="F18" i="1"/>
  <c r="E18" i="1"/>
  <c r="D18" i="1"/>
  <c r="H17" i="1"/>
  <c r="G17" i="1"/>
  <c r="F17" i="1"/>
  <c r="E17" i="1"/>
  <c r="D17" i="1"/>
  <c r="H16" i="1"/>
  <c r="G16" i="1"/>
  <c r="F16" i="1"/>
  <c r="E16" i="1"/>
  <c r="D16" i="1"/>
  <c r="H15" i="1"/>
  <c r="G15" i="1"/>
  <c r="F15" i="1"/>
  <c r="E15" i="1"/>
  <c r="D15" i="1"/>
  <c r="H14" i="1"/>
  <c r="G14" i="1"/>
  <c r="F14" i="1"/>
  <c r="E14" i="1"/>
  <c r="D14" i="1"/>
  <c r="H13" i="1"/>
  <c r="G13" i="1"/>
  <c r="F13" i="1"/>
  <c r="E13" i="1"/>
  <c r="D13" i="1"/>
  <c r="H12" i="1"/>
  <c r="G12" i="1"/>
  <c r="F12" i="1"/>
  <c r="E12" i="1"/>
  <c r="D12" i="1"/>
  <c r="H11" i="1"/>
  <c r="G11" i="1"/>
  <c r="F11" i="1"/>
  <c r="E11" i="1"/>
  <c r="D11" i="1"/>
  <c r="H10" i="1"/>
  <c r="G10" i="1"/>
  <c r="F10" i="1"/>
  <c r="E10" i="1"/>
  <c r="D10" i="1"/>
  <c r="H9" i="1"/>
  <c r="G9" i="1"/>
  <c r="F9" i="1"/>
  <c r="E9" i="1"/>
  <c r="D9" i="1"/>
  <c r="H8" i="1"/>
  <c r="G8" i="1"/>
  <c r="F8" i="1"/>
  <c r="E8" i="1"/>
  <c r="D8" i="1"/>
  <c r="H7" i="1"/>
  <c r="G7" i="1"/>
  <c r="F7" i="1"/>
  <c r="E7" i="1"/>
  <c r="D7" i="1"/>
  <c r="D6" i="1"/>
  <c r="E6" i="1"/>
  <c r="F6" i="1"/>
  <c r="G6" i="1"/>
  <c r="H6" i="1"/>
  <c r="H5" i="1"/>
  <c r="G5" i="1"/>
  <c r="F5" i="1"/>
  <c r="E5" i="1"/>
  <c r="D5" i="1"/>
  <c r="D12" i="13" l="1"/>
  <c r="D7" i="13"/>
  <c r="D8" i="13"/>
  <c r="C16" i="3"/>
  <c r="E48" i="2"/>
  <c r="D16" i="3" s="1"/>
  <c r="U47" i="2"/>
  <c r="E39" i="2"/>
  <c r="L36" i="2"/>
  <c r="L39" i="2" s="1"/>
  <c r="E36" i="2"/>
  <c r="L19" i="1"/>
  <c r="L18" i="1"/>
  <c r="L17" i="1"/>
  <c r="L16" i="1"/>
  <c r="L15" i="1"/>
  <c r="L14" i="1"/>
  <c r="L13" i="1"/>
  <c r="L12" i="1"/>
  <c r="L11" i="1"/>
  <c r="L10" i="1"/>
  <c r="AH2" i="1"/>
  <c r="A8" i="6" l="1"/>
  <c r="A9" i="6" s="1"/>
  <c r="A10" i="6" s="1"/>
  <c r="A11" i="6" s="1"/>
  <c r="A12" i="6" s="1"/>
  <c r="A13" i="6" s="1"/>
  <c r="A14" i="6" s="1"/>
  <c r="A15" i="6" s="1"/>
  <c r="A16" i="6" s="1"/>
  <c r="A17" i="6" s="1"/>
  <c r="A18" i="6" s="1"/>
  <c r="A19" i="6" s="1"/>
  <c r="A20" i="6" s="1"/>
  <c r="A21" i="6" s="1"/>
  <c r="A22" i="6" s="1"/>
  <c r="A23" i="6" s="1"/>
  <c r="A24" i="6" s="1"/>
  <c r="A25" i="6" s="1"/>
  <c r="A26" i="6" s="1"/>
  <c r="A27" i="6" s="1"/>
  <c r="A28" i="6" s="1"/>
  <c r="A29" i="6" s="1"/>
  <c r="L9" i="1" l="1"/>
  <c r="E14" i="13" s="1"/>
  <c r="L8" i="1"/>
  <c r="L7" i="1"/>
  <c r="E13" i="13" s="1"/>
  <c r="L6" i="1"/>
  <c r="L5" i="1"/>
  <c r="AJ18" i="1"/>
  <c r="AK18" i="1" s="1"/>
  <c r="AE18" i="1"/>
  <c r="AF18" i="1" s="1"/>
  <c r="Z18" i="1"/>
  <c r="AA18" i="1" s="1"/>
  <c r="AB18" i="1" s="1"/>
  <c r="U18" i="1"/>
  <c r="V18" i="1" s="1"/>
  <c r="P18" i="1"/>
  <c r="Q18" i="1" s="1"/>
  <c r="E9" i="13" l="1"/>
  <c r="E12" i="13"/>
  <c r="E8" i="13"/>
  <c r="E11" i="13"/>
  <c r="E7" i="13"/>
  <c r="E10" i="13"/>
  <c r="M8" i="1"/>
  <c r="M18" i="1"/>
  <c r="W18" i="1"/>
  <c r="AG18" i="1"/>
  <c r="AL18" i="1"/>
  <c r="R18" i="1"/>
  <c r="N36" i="2" l="1"/>
  <c r="O36" i="2"/>
  <c r="P36" i="2"/>
  <c r="B6" i="2"/>
  <c r="C6" i="2"/>
  <c r="M14" i="1"/>
  <c r="M13" i="1"/>
  <c r="P14" i="1"/>
  <c r="Q14" i="1" s="1"/>
  <c r="U14" i="1"/>
  <c r="V14" i="1" s="1"/>
  <c r="W14" i="1"/>
  <c r="Z14" i="1"/>
  <c r="AA14" i="1" s="1"/>
  <c r="AB14" i="1"/>
  <c r="AE14" i="1"/>
  <c r="AF14" i="1" s="1"/>
  <c r="AG14" i="1"/>
  <c r="AJ14" i="1"/>
  <c r="AK14" i="1" s="1"/>
  <c r="AL14" i="1"/>
  <c r="P13" i="1"/>
  <c r="Q13" i="1" s="1"/>
  <c r="R13" i="1"/>
  <c r="U13" i="1"/>
  <c r="V13" i="1" s="1"/>
  <c r="W13" i="1"/>
  <c r="Z13" i="1"/>
  <c r="AA13" i="1" s="1"/>
  <c r="AB13" i="1"/>
  <c r="AE13" i="1"/>
  <c r="AF13" i="1" s="1"/>
  <c r="AG13" i="1"/>
  <c r="AJ13" i="1"/>
  <c r="AK13" i="1" s="1"/>
  <c r="AL13" i="1"/>
  <c r="M15" i="1"/>
  <c r="P15" i="1"/>
  <c r="Q15" i="1" s="1"/>
  <c r="R15" i="1" s="1"/>
  <c r="U15" i="1"/>
  <c r="V15" i="1" s="1"/>
  <c r="Z15" i="1"/>
  <c r="AA15" i="1" s="1"/>
  <c r="AB15" i="1"/>
  <c r="AE15" i="1"/>
  <c r="AF15" i="1" s="1"/>
  <c r="AJ15" i="1"/>
  <c r="AK15" i="1" s="1"/>
  <c r="W15" i="1" l="1"/>
  <c r="R14" i="1"/>
  <c r="AL15" i="1"/>
  <c r="AG15" i="1"/>
  <c r="I3" i="3" l="1"/>
  <c r="A7" i="1"/>
  <c r="A8" i="1" s="1"/>
  <c r="A9" i="1" s="1"/>
  <c r="A10" i="1" s="1"/>
  <c r="A11" i="1" s="1"/>
  <c r="A12" i="1" s="1"/>
  <c r="A13" i="1" s="1"/>
  <c r="A14" i="1" s="1"/>
  <c r="A15" i="1" s="1"/>
  <c r="A16" i="1" s="1"/>
  <c r="A17" i="1" s="1"/>
  <c r="A18" i="1" s="1"/>
  <c r="A19" i="1" s="1"/>
  <c r="AJ17" i="1"/>
  <c r="AK17" i="1" s="1"/>
  <c r="AE17" i="1"/>
  <c r="AF17" i="1" s="1"/>
  <c r="Z17" i="1"/>
  <c r="AA17" i="1" s="1"/>
  <c r="U17" i="1"/>
  <c r="V17" i="1" s="1"/>
  <c r="P17" i="1"/>
  <c r="Q17" i="1" s="1"/>
  <c r="M11" i="1"/>
  <c r="P11" i="1"/>
  <c r="Q11" i="1" s="1"/>
  <c r="U11" i="1"/>
  <c r="V11" i="1" s="1"/>
  <c r="Z11" i="1"/>
  <c r="AA11" i="1" s="1"/>
  <c r="AE11" i="1"/>
  <c r="AF11" i="1" s="1"/>
  <c r="AJ11" i="1"/>
  <c r="AK11" i="1" s="1"/>
  <c r="AL11" i="1" l="1"/>
  <c r="AG11" i="1"/>
  <c r="AB11" i="1"/>
  <c r="W11" i="1"/>
  <c r="R11" i="1"/>
  <c r="M17" i="1"/>
  <c r="R17" i="1"/>
  <c r="W17" i="1"/>
  <c r="AB17" i="1"/>
  <c r="AG17" i="1"/>
  <c r="AL17" i="1"/>
  <c r="AJ7" i="1" l="1"/>
  <c r="AK7" i="1" s="1"/>
  <c r="P8" i="1"/>
  <c r="Q8" i="1" s="1"/>
  <c r="U8" i="1"/>
  <c r="V8" i="1" s="1"/>
  <c r="Z8" i="1"/>
  <c r="AA8" i="1" s="1"/>
  <c r="AB8" i="1" s="1"/>
  <c r="AE8" i="1"/>
  <c r="AF8" i="1" s="1"/>
  <c r="AG8" i="1"/>
  <c r="AJ8" i="1"/>
  <c r="AK8" i="1" s="1"/>
  <c r="AL8" i="1"/>
  <c r="R8" i="1" l="1"/>
  <c r="W8" i="1"/>
  <c r="M10" i="1"/>
  <c r="P10" i="1"/>
  <c r="Q10" i="1" s="1"/>
  <c r="R10" i="1" s="1"/>
  <c r="U10" i="1"/>
  <c r="V10" i="1" s="1"/>
  <c r="W10" i="1"/>
  <c r="Z10" i="1"/>
  <c r="AA10" i="1" s="1"/>
  <c r="AB10" i="1" s="1"/>
  <c r="AE10" i="1"/>
  <c r="AF10" i="1" s="1"/>
  <c r="AG10" i="1"/>
  <c r="AJ10" i="1"/>
  <c r="AK10" i="1" s="1"/>
  <c r="AL10" i="1" s="1"/>
  <c r="M12" i="1"/>
  <c r="P12" i="1"/>
  <c r="Q12" i="1" s="1"/>
  <c r="R12" i="1"/>
  <c r="U12" i="1"/>
  <c r="V12" i="1" s="1"/>
  <c r="W12" i="1"/>
  <c r="Z12" i="1"/>
  <c r="AA12" i="1" s="1"/>
  <c r="AB12" i="1"/>
  <c r="AE12" i="1"/>
  <c r="AF12" i="1" s="1"/>
  <c r="AG12" i="1"/>
  <c r="AJ12" i="1"/>
  <c r="AK12" i="1" s="1"/>
  <c r="AL12" i="1"/>
  <c r="P16" i="1" l="1"/>
  <c r="Q16" i="1" s="1"/>
  <c r="R16" i="1" s="1"/>
  <c r="M16" i="1"/>
  <c r="U16" i="1"/>
  <c r="V16" i="1" s="1"/>
  <c r="W16" i="1"/>
  <c r="Z16" i="1"/>
  <c r="AA16" i="1" s="1"/>
  <c r="AB16" i="1" s="1"/>
  <c r="AE16" i="1"/>
  <c r="AF16" i="1" s="1"/>
  <c r="AG16" i="1"/>
  <c r="AJ16" i="1"/>
  <c r="AK16" i="1" s="1"/>
  <c r="AL16" i="1" s="1"/>
  <c r="M7" i="1" l="1"/>
  <c r="P7" i="1"/>
  <c r="Q7" i="1" s="1"/>
  <c r="R7" i="1"/>
  <c r="U7" i="1"/>
  <c r="V7" i="1" s="1"/>
  <c r="W7" i="1" s="1"/>
  <c r="Z7" i="1"/>
  <c r="AA7" i="1" s="1"/>
  <c r="AB7" i="1"/>
  <c r="AE7" i="1"/>
  <c r="AF7" i="1" s="1"/>
  <c r="AG7" i="1" s="1"/>
  <c r="AL7" i="1"/>
  <c r="M6" i="1" l="1"/>
  <c r="P6" i="1"/>
  <c r="Q6" i="1" s="1"/>
  <c r="R6" i="1" s="1"/>
  <c r="U6" i="1"/>
  <c r="V6" i="1" s="1"/>
  <c r="W6" i="1" s="1"/>
  <c r="Z6" i="1"/>
  <c r="AA6" i="1" s="1"/>
  <c r="AB6" i="1" s="1"/>
  <c r="AE6" i="1"/>
  <c r="AF6" i="1" s="1"/>
  <c r="AG6" i="1" s="1"/>
  <c r="AJ6" i="1"/>
  <c r="AK6" i="1" s="1"/>
  <c r="AL6" i="1"/>
  <c r="X7" i="3" l="1"/>
  <c r="M9" i="1"/>
  <c r="P9" i="1"/>
  <c r="Q9" i="1" s="1"/>
  <c r="R9" i="1"/>
  <c r="U9" i="1"/>
  <c r="V9" i="1" s="1"/>
  <c r="W9" i="1" s="1"/>
  <c r="Z9" i="1"/>
  <c r="AA9" i="1" s="1"/>
  <c r="AB9" i="1"/>
  <c r="AE9" i="1"/>
  <c r="AF9" i="1" s="1"/>
  <c r="AG9" i="1" s="1"/>
  <c r="AJ9" i="1"/>
  <c r="AK9" i="1" s="1"/>
  <c r="AL9" i="1"/>
  <c r="M19" i="1" l="1"/>
  <c r="P19" i="1"/>
  <c r="Q19" i="1" s="1"/>
  <c r="R19" i="1"/>
  <c r="U19" i="1"/>
  <c r="V19" i="1" s="1"/>
  <c r="W19" i="1"/>
  <c r="Z19" i="1"/>
  <c r="AA19" i="1" s="1"/>
  <c r="AB19" i="1"/>
  <c r="AE19" i="1"/>
  <c r="AF19" i="1" s="1"/>
  <c r="AG19" i="1"/>
  <c r="AJ19" i="1"/>
  <c r="AK19" i="1" s="1"/>
  <c r="AL19" i="1"/>
  <c r="K20" i="1" l="1"/>
  <c r="M5" i="1" l="1"/>
  <c r="P5" i="1"/>
  <c r="Q5" i="1" s="1"/>
  <c r="U5" i="1"/>
  <c r="V5" i="1" s="1"/>
  <c r="Z5" i="1"/>
  <c r="AA5" i="1" s="1"/>
  <c r="AE5" i="1"/>
  <c r="AF5" i="1" s="1"/>
  <c r="AG5" i="1" s="1"/>
  <c r="AJ5" i="1"/>
  <c r="AK5" i="1" s="1"/>
  <c r="AL5" i="1" s="1"/>
  <c r="AB5" i="1" l="1"/>
  <c r="W5" i="1"/>
  <c r="R5" i="1"/>
  <c r="D18" i="3" l="1"/>
  <c r="E18" i="3" s="1"/>
  <c r="F18" i="3" s="1"/>
  <c r="G18" i="3" s="1"/>
  <c r="H18" i="3" s="1"/>
  <c r="I18" i="3" s="1"/>
  <c r="L47" i="2" l="1"/>
  <c r="I15" i="3" l="1"/>
  <c r="I19" i="3" s="1"/>
  <c r="AG20" i="1" l="1"/>
  <c r="O5" i="2" s="1"/>
  <c r="AL20" i="1"/>
  <c r="P5" i="2" l="1"/>
  <c r="AM10" i="3" l="1"/>
  <c r="AH20" i="1" l="1"/>
  <c r="AF20" i="1" l="1"/>
  <c r="L20" i="1" l="1"/>
  <c r="D6" i="2" s="1"/>
  <c r="F6" i="2" l="1"/>
  <c r="F36" i="2" s="1"/>
  <c r="F39" i="2" s="1"/>
  <c r="D40" i="2"/>
  <c r="D36" i="2"/>
  <c r="D39" i="2" s="1"/>
  <c r="T20" i="1"/>
  <c r="D44" i="2" l="1"/>
  <c r="E40" i="2"/>
  <c r="C3" i="3"/>
  <c r="D43" i="2"/>
  <c r="D47" i="2"/>
  <c r="D49" i="2" s="1"/>
  <c r="D41" i="2"/>
  <c r="R20" i="1"/>
  <c r="D45" i="2" l="1"/>
  <c r="F48" i="2"/>
  <c r="E16" i="3" s="1"/>
  <c r="F40" i="2"/>
  <c r="G40" i="2" s="1"/>
  <c r="H40" i="2" s="1"/>
  <c r="I40" i="2" s="1"/>
  <c r="J40" i="2" s="1"/>
  <c r="K40" i="2" s="1"/>
  <c r="L40" i="2" s="1"/>
  <c r="E41" i="2"/>
  <c r="E43" i="2"/>
  <c r="E47" i="2"/>
  <c r="AD20" i="1"/>
  <c r="G48" i="2" l="1"/>
  <c r="F16" i="3" s="1"/>
  <c r="AC20" i="1"/>
  <c r="H48" i="2" l="1"/>
  <c r="P20" i="1"/>
  <c r="G6" i="2" l="1"/>
  <c r="G36" i="2" s="1"/>
  <c r="G39" i="2" s="1"/>
  <c r="D3" i="3" s="1"/>
  <c r="I48" i="2"/>
  <c r="G16" i="3"/>
  <c r="N20" i="1"/>
  <c r="J48" i="2" l="1"/>
  <c r="H16" i="3"/>
  <c r="G47" i="2"/>
  <c r="H20" i="1"/>
  <c r="X20" i="1"/>
  <c r="AI20" i="1"/>
  <c r="Y20" i="1"/>
  <c r="S20" i="1"/>
  <c r="O20" i="1"/>
  <c r="K48" i="2" l="1"/>
  <c r="L48" i="2" s="1"/>
  <c r="I16" i="3"/>
  <c r="D15" i="3"/>
  <c r="D19" i="3" s="1"/>
  <c r="V20" i="1" l="1"/>
  <c r="Q20" i="1"/>
  <c r="E44" i="2" l="1"/>
  <c r="F44" i="2" l="1"/>
  <c r="E45" i="2"/>
  <c r="C7" i="2"/>
  <c r="C8" i="2" s="1"/>
  <c r="C9" i="2" l="1"/>
  <c r="C10" i="2" s="1"/>
  <c r="C11" i="2" s="1"/>
  <c r="C12" i="2" s="1"/>
  <c r="C13" i="2" l="1"/>
  <c r="C14" i="2" s="1"/>
  <c r="C15" i="2" s="1"/>
  <c r="C16" i="2" s="1"/>
  <c r="C17" i="2" s="1"/>
  <c r="C18" i="2" s="1"/>
  <c r="AJ20" i="1"/>
  <c r="K6" i="2" s="1"/>
  <c r="K36" i="2" s="1"/>
  <c r="K39" i="2" s="1"/>
  <c r="AE20" i="1"/>
  <c r="Z20" i="1"/>
  <c r="W20" i="1"/>
  <c r="U20" i="1"/>
  <c r="M20" i="1"/>
  <c r="I6" i="2" l="1"/>
  <c r="I36" i="2" s="1"/>
  <c r="I39" i="2" s="1"/>
  <c r="F3" i="3" s="1"/>
  <c r="J6" i="2"/>
  <c r="J36" i="2" s="1"/>
  <c r="J39" i="2" s="1"/>
  <c r="G3" i="3" s="1"/>
  <c r="H6" i="2"/>
  <c r="H36" i="2" s="1"/>
  <c r="H39" i="2" s="1"/>
  <c r="E3" i="3" s="1"/>
  <c r="H3" i="3"/>
  <c r="C19" i="2"/>
  <c r="C20" i="2" s="1"/>
  <c r="C21" i="2" s="1"/>
  <c r="J47" i="2" l="1"/>
  <c r="H47" i="2"/>
  <c r="K47" i="2"/>
  <c r="I47" i="2"/>
  <c r="C22" i="2"/>
  <c r="C23" i="2" s="1"/>
  <c r="C24" i="2" s="1"/>
  <c r="G38" i="2"/>
  <c r="H38" i="2" s="1"/>
  <c r="I38" i="2" s="1"/>
  <c r="J38" i="2" s="1"/>
  <c r="K38" i="2" s="1"/>
  <c r="L38" i="2" s="1"/>
  <c r="L43" i="2" s="1"/>
  <c r="C25" i="2" l="1"/>
  <c r="C26" i="2" s="1"/>
  <c r="C27" i="2" s="1"/>
  <c r="C28" i="2" s="1"/>
  <c r="C29" i="2" s="1"/>
  <c r="C30" i="2" s="1"/>
  <c r="C31" i="2" s="1"/>
  <c r="C32" i="2" s="1"/>
  <c r="C33" i="2" s="1"/>
  <c r="C34" i="2" s="1"/>
  <c r="K43" i="2"/>
  <c r="K41" i="2"/>
  <c r="C35" i="2" l="1"/>
  <c r="G15" i="3"/>
  <c r="G19" i="3" s="1"/>
  <c r="F15" i="3"/>
  <c r="F19" i="3" s="1"/>
  <c r="H15" i="3"/>
  <c r="H19" i="3" s="1"/>
  <c r="E15" i="3"/>
  <c r="E19" i="3" s="1"/>
  <c r="B7" i="2"/>
  <c r="B8" i="2" l="1"/>
  <c r="B9" i="2" l="1"/>
  <c r="B10" i="2" s="1"/>
  <c r="B11" i="2" s="1"/>
  <c r="B12" i="2" s="1"/>
  <c r="B13" i="2" s="1"/>
  <c r="B14" i="2" s="1"/>
  <c r="B15" i="2" s="1"/>
  <c r="B16" i="2" s="1"/>
  <c r="B17" i="2" s="1"/>
  <c r="B18" i="2" s="1"/>
  <c r="B19" i="2" l="1"/>
  <c r="B20" i="2" s="1"/>
  <c r="B21" i="2" s="1"/>
  <c r="B22" i="2" s="1"/>
  <c r="B23" i="2" s="1"/>
  <c r="B24" i="2" s="1"/>
  <c r="I41" i="2"/>
  <c r="I43" i="2"/>
  <c r="J43" i="2"/>
  <c r="J41" i="2"/>
  <c r="B25" i="2" l="1"/>
  <c r="B26" i="2" s="1"/>
  <c r="B27" i="2" s="1"/>
  <c r="B28" i="2" s="1"/>
  <c r="B29" i="2" s="1"/>
  <c r="B30" i="2" s="1"/>
  <c r="B31" i="2" s="1"/>
  <c r="B32" i="2" s="1"/>
  <c r="B33" i="2" s="1"/>
  <c r="B34" i="2" s="1"/>
  <c r="B35" i="2" l="1"/>
  <c r="G41" i="2"/>
  <c r="G43" i="2"/>
  <c r="H41" i="2" l="1"/>
  <c r="H43" i="2"/>
  <c r="G44" i="2" l="1"/>
  <c r="H44" i="2" l="1"/>
  <c r="G45" i="2"/>
  <c r="I44" i="2" l="1"/>
  <c r="H45" i="2"/>
  <c r="J44" i="2" l="1"/>
  <c r="I45" i="2"/>
  <c r="K44" i="2" l="1"/>
  <c r="L44" i="2" s="1"/>
  <c r="J45" i="2"/>
  <c r="K45" i="2" l="1"/>
  <c r="E49" i="2" l="1"/>
  <c r="G49" i="2" l="1"/>
  <c r="H49" i="2" l="1"/>
  <c r="I49" i="2" l="1"/>
  <c r="J49" i="2" l="1"/>
  <c r="K49" i="2" l="1"/>
  <c r="AA20" i="1" l="1"/>
  <c r="AB20" i="1"/>
  <c r="AK20" i="1" l="1"/>
  <c r="L41" i="2" l="1"/>
  <c r="L45" i="2"/>
  <c r="L49" i="2" l="1"/>
  <c r="F47" i="2" l="1"/>
  <c r="F41" i="2" l="1"/>
  <c r="C15" i="3"/>
  <c r="C17" i="3" s="1"/>
  <c r="F43" i="2"/>
  <c r="F45" i="2" s="1"/>
  <c r="F49" i="2"/>
  <c r="D17" i="3" l="1"/>
  <c r="E17" i="3" s="1"/>
  <c r="F17" i="3" s="1"/>
  <c r="G17" i="3" s="1"/>
  <c r="H17" i="3" s="1"/>
  <c r="I17" i="3" s="1"/>
  <c r="C19" i="3"/>
</calcChain>
</file>

<file path=xl/sharedStrings.xml><?xml version="1.0" encoding="utf-8"?>
<sst xmlns="http://schemas.openxmlformats.org/spreadsheetml/2006/main" count="206" uniqueCount="113">
  <si>
    <t>Bln. To Receive</t>
  </si>
  <si>
    <t>Date</t>
  </si>
  <si>
    <t>TOTAL</t>
  </si>
  <si>
    <t>AVG. PER DAY</t>
  </si>
  <si>
    <t>Dispatch</t>
  </si>
  <si>
    <t>Monthley Target</t>
  </si>
  <si>
    <t>Balance target</t>
  </si>
  <si>
    <t>Day's Left</t>
  </si>
  <si>
    <t>Req. Avg Per Day</t>
  </si>
  <si>
    <t>WORKING DAYS</t>
  </si>
  <si>
    <t>Yearly Working Days</t>
  </si>
  <si>
    <t>Yearly Per Day Avg.</t>
  </si>
  <si>
    <t>Receive
Start
Date</t>
  </si>
  <si>
    <t>Balance
WIP</t>
  </si>
  <si>
    <t>Qty.</t>
  </si>
  <si>
    <t>Color</t>
  </si>
  <si>
    <t>Artical #</t>
  </si>
  <si>
    <t>Total</t>
  </si>
  <si>
    <t>Day</t>
  </si>
  <si>
    <t>Night</t>
  </si>
  <si>
    <t>Total
Prod.</t>
  </si>
  <si>
    <t>Rcvd
From</t>
  </si>
  <si>
    <t>Total Acc.
Qty.</t>
  </si>
  <si>
    <t>Order Status</t>
  </si>
  <si>
    <t>Month</t>
  </si>
  <si>
    <t>January</t>
  </si>
  <si>
    <t>February</t>
  </si>
  <si>
    <t>March</t>
  </si>
  <si>
    <t>April</t>
  </si>
  <si>
    <t>May</t>
  </si>
  <si>
    <t>June</t>
  </si>
  <si>
    <t>July</t>
  </si>
  <si>
    <t>August</t>
  </si>
  <si>
    <t>September</t>
  </si>
  <si>
    <t>October</t>
  </si>
  <si>
    <t>November</t>
  </si>
  <si>
    <t>December</t>
  </si>
  <si>
    <t>Total Month Of This Year</t>
  </si>
  <si>
    <t>Monthley Avg.</t>
  </si>
  <si>
    <t>Per Day Avg.</t>
  </si>
  <si>
    <t>To Day
Received</t>
  </si>
  <si>
    <t>Total
Received</t>
  </si>
  <si>
    <t>SR#</t>
  </si>
  <si>
    <t>Levi's</t>
  </si>
  <si>
    <t>Wip. Finishing</t>
  </si>
  <si>
    <t>Other</t>
  </si>
  <si>
    <t>Cust</t>
  </si>
  <si>
    <t>SUB TOTAL</t>
  </si>
  <si>
    <t>CUSTOMER DATA BASE</t>
  </si>
  <si>
    <t>Sr.#</t>
  </si>
  <si>
    <t>Customer</t>
  </si>
  <si>
    <t>Order #</t>
  </si>
  <si>
    <t>Article#</t>
  </si>
  <si>
    <t>Order Qty.</t>
  </si>
  <si>
    <t>Kiabi</t>
  </si>
  <si>
    <t>A-25896</t>
  </si>
  <si>
    <t>Black</t>
  </si>
  <si>
    <t>Levis</t>
  </si>
  <si>
    <t>B-56896</t>
  </si>
  <si>
    <t>Blue</t>
  </si>
  <si>
    <t>Lahalle</t>
  </si>
  <si>
    <t>D-58962</t>
  </si>
  <si>
    <t>Dark Black</t>
  </si>
  <si>
    <t>D-58961</t>
  </si>
  <si>
    <t>Celio</t>
  </si>
  <si>
    <t>Z-22243</t>
  </si>
  <si>
    <t>DAILY PRODUCTION REPORT DEPARTMENT WISE</t>
  </si>
  <si>
    <t>Receive From</t>
  </si>
  <si>
    <t>Department 1</t>
  </si>
  <si>
    <t>Department 2</t>
  </si>
  <si>
    <t>Department 3</t>
  </si>
  <si>
    <t>Department 4</t>
  </si>
  <si>
    <t xml:space="preserve">Balance
</t>
  </si>
  <si>
    <t>Company Name</t>
  </si>
  <si>
    <t>Department 5</t>
  </si>
  <si>
    <t>Receiving From</t>
  </si>
  <si>
    <t>Total Received</t>
  </si>
  <si>
    <t xml:space="preserve">
Order #</t>
  </si>
  <si>
    <t>Company Serial Number</t>
  </si>
  <si>
    <t>3% Extra Qty.</t>
  </si>
  <si>
    <t>Yearly Production Report
For The Year Of - 2017</t>
  </si>
  <si>
    <t>Yearly G.Total Prod.2017</t>
  </si>
  <si>
    <t>Row Labels</t>
  </si>
  <si>
    <t>Grand Total</t>
  </si>
  <si>
    <t>Received From</t>
  </si>
  <si>
    <t>Deparment 4</t>
  </si>
  <si>
    <t>Customer Data Base</t>
  </si>
  <si>
    <t>Daily Report</t>
  </si>
  <si>
    <t>Date wise Pro. Status</t>
  </si>
  <si>
    <t>Month wise Pro. Status</t>
  </si>
  <si>
    <t>Dash Board</t>
  </si>
  <si>
    <t>Date Wise Pro. Status</t>
  </si>
  <si>
    <t>Month Wise Pro. Status</t>
  </si>
  <si>
    <t>Project End Date</t>
  </si>
  <si>
    <t>Project Received Date</t>
  </si>
  <si>
    <t>Status</t>
  </si>
  <si>
    <t>Complete</t>
  </si>
  <si>
    <t>In complete</t>
  </si>
  <si>
    <t>Pending</t>
  </si>
  <si>
    <t>Continue</t>
  </si>
  <si>
    <t>Serial Number</t>
  </si>
  <si>
    <t>(blank)</t>
  </si>
  <si>
    <t>Sum of Order Qty.</t>
  </si>
  <si>
    <t>PROJECT STATUS SUMMARY</t>
  </si>
  <si>
    <t>Do not Change This Rows</t>
  </si>
  <si>
    <t>Received Qty.</t>
  </si>
  <si>
    <t>Sum of Received Qty.</t>
  </si>
  <si>
    <t>abc</t>
  </si>
  <si>
    <t>A-25876</t>
  </si>
  <si>
    <t>Select Company Serial Number</t>
  </si>
  <si>
    <t>Project Status</t>
  </si>
  <si>
    <t>Do not change these columns</t>
  </si>
  <si>
    <t>Monthly Production Report January-2021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</si>
</sst>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ddd"/>
    <numFmt numFmtId="167" formatCode="[$-409]d\-mmm;@"/>
    <numFmt numFmtId="168" formatCode="[$-409]d\-mmm\-yy;@"/>
    <numFmt numFmtId="169" formatCode="0.0"/>
    <numFmt numFmtId="170" formatCode="h:mm:ss\ "/>
  </numFmts>
  <fonts count="48" x14ac:knownFonts="1">
    <font>
      <sz val="10"/>
      <name val="Arial"/>
    </font>
    <font>
      <sz val="10"/>
      <name val="Arial"/>
      <family val="2"/>
    </font>
    <font>
      <b/>
      <i/>
      <sz val="28"/>
      <name val="Book Antiqua"/>
      <family val="1"/>
    </font>
    <font>
      <b/>
      <sz val="11"/>
      <color indexed="8"/>
      <name val="Calibri"/>
      <family val="2"/>
    </font>
    <font>
      <b/>
      <sz val="14"/>
      <name val="Times New Roman"/>
      <family val="1"/>
    </font>
    <font>
      <b/>
      <sz val="16"/>
      <name val="Times New Roman"/>
      <family val="1"/>
    </font>
    <font>
      <b/>
      <sz val="12"/>
      <name val="Times New Roman"/>
      <family val="1"/>
    </font>
    <font>
      <b/>
      <sz val="14"/>
      <color indexed="8"/>
      <name val="Times New Roman"/>
      <family val="1"/>
    </font>
    <font>
      <b/>
      <sz val="12"/>
      <color indexed="8"/>
      <name val="Times New Roman"/>
      <family val="1"/>
    </font>
    <font>
      <b/>
      <sz val="12"/>
      <color indexed="8"/>
      <name val="Calibri"/>
      <family val="2"/>
    </font>
    <font>
      <b/>
      <sz val="18"/>
      <name val="Times New Roman"/>
      <family val="1"/>
    </font>
    <font>
      <b/>
      <sz val="14"/>
      <color indexed="10"/>
      <name val="Calibri"/>
      <family val="2"/>
    </font>
    <font>
      <b/>
      <sz val="12"/>
      <color indexed="8"/>
      <name val="Times"/>
      <family val="1"/>
    </font>
    <font>
      <sz val="10"/>
      <name val="Arial"/>
      <family val="2"/>
    </font>
    <font>
      <sz val="11"/>
      <name val="Times New Roman"/>
      <family val="1"/>
    </font>
    <font>
      <b/>
      <sz val="10"/>
      <name val="Times New Roman"/>
      <family val="1"/>
    </font>
    <font>
      <sz val="14"/>
      <name val="Times New Roman"/>
      <family val="1"/>
    </font>
    <font>
      <b/>
      <sz val="18"/>
      <color indexed="18"/>
      <name val="Times New Roman"/>
      <family val="1"/>
    </font>
    <font>
      <b/>
      <sz val="12"/>
      <color indexed="18"/>
      <name val="Times New Roman"/>
      <family val="1"/>
    </font>
    <font>
      <b/>
      <sz val="10"/>
      <color indexed="18"/>
      <name val="Times New Roman"/>
      <family val="1"/>
    </font>
    <font>
      <sz val="10"/>
      <name val="Times New Roman"/>
      <family val="1"/>
    </font>
    <font>
      <b/>
      <sz val="28"/>
      <color rgb="FF7030A0"/>
      <name val="Times New Roman"/>
      <family val="1"/>
    </font>
    <font>
      <b/>
      <sz val="18"/>
      <color indexed="8"/>
      <name val="Times New Roman"/>
      <family val="1"/>
    </font>
    <font>
      <b/>
      <sz val="13"/>
      <name val="Times New Roman"/>
      <family val="1"/>
    </font>
    <font>
      <b/>
      <sz val="13"/>
      <color indexed="18"/>
      <name val="Times New Roman"/>
      <family val="1"/>
    </font>
    <font>
      <b/>
      <sz val="18"/>
      <color indexed="8"/>
      <name val="Book Antiqua"/>
      <family val="1"/>
    </font>
    <font>
      <b/>
      <sz val="16"/>
      <color indexed="12"/>
      <name val="Times New Roman"/>
      <family val="1"/>
    </font>
    <font>
      <b/>
      <sz val="15"/>
      <name val="Times New Roman"/>
      <family val="1"/>
    </font>
    <font>
      <b/>
      <sz val="18"/>
      <color indexed="12"/>
      <name val="Times New Roman"/>
      <family val="1"/>
    </font>
    <font>
      <b/>
      <sz val="26"/>
      <color indexed="18"/>
      <name val="Times New Roman"/>
      <family val="1"/>
    </font>
    <font>
      <b/>
      <sz val="16"/>
      <color indexed="18"/>
      <name val="Times New Roman"/>
      <family val="1"/>
    </font>
    <font>
      <b/>
      <sz val="17"/>
      <color indexed="18"/>
      <name val="Times New Roman"/>
      <family val="1"/>
    </font>
    <font>
      <b/>
      <sz val="15"/>
      <color indexed="18"/>
      <name val="Times New Roman"/>
      <family val="1"/>
    </font>
    <font>
      <b/>
      <sz val="15"/>
      <name val="Cambria"/>
      <family val="1"/>
      <scheme val="major"/>
    </font>
    <font>
      <b/>
      <sz val="18"/>
      <name val="Cambria"/>
      <family val="1"/>
      <scheme val="major"/>
    </font>
    <font>
      <sz val="24"/>
      <name val="Cambria"/>
      <family val="1"/>
      <scheme val="major"/>
    </font>
    <font>
      <b/>
      <sz val="20"/>
      <name val="Times New Roman"/>
      <family val="1"/>
    </font>
    <font>
      <sz val="12"/>
      <name val="Times New Roman"/>
      <family val="1"/>
    </font>
    <font>
      <b/>
      <sz val="24"/>
      <name val="Times New Roman"/>
      <family val="1"/>
    </font>
    <font>
      <b/>
      <sz val="18"/>
      <name val="Calibri"/>
      <family val="2"/>
    </font>
    <font>
      <b/>
      <sz val="22"/>
      <name val="Times New Roman"/>
      <family val="1"/>
    </font>
    <font>
      <b/>
      <sz val="16"/>
      <name val="Arial"/>
      <family val="2"/>
    </font>
    <font>
      <u/>
      <sz val="10"/>
      <color theme="10"/>
      <name val="Arial"/>
      <family val="2"/>
    </font>
    <font>
      <b/>
      <sz val="12"/>
      <name val="Arial"/>
      <family val="2"/>
    </font>
    <font>
      <b/>
      <sz val="12"/>
      <color theme="10"/>
      <name val="Arial"/>
      <family val="2"/>
    </font>
    <font>
      <sz val="10"/>
      <color theme="1"/>
      <name val="Arial"/>
      <family val="2"/>
    </font>
    <font>
      <sz val="11"/>
      <color theme="0"/>
      <name val="Times New Roman"/>
      <family val="1"/>
    </font>
    <font>
      <b/>
      <sz val="10"/>
      <name val="Arial"/>
      <family val="2"/>
    </font>
  </fonts>
  <fills count="24">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9"/>
        <bgColor indexed="26"/>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55"/>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bgColor indexed="55"/>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4"/>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5"/>
        <bgColor indexed="64"/>
      </patternFill>
    </fill>
    <fill>
      <patternFill patternType="solid">
        <fgColor theme="2"/>
        <bgColor indexed="64"/>
      </patternFill>
    </fill>
    <fill>
      <patternFill patternType="solid">
        <fgColor theme="5" tint="-0.249977111117893"/>
        <bgColor indexed="64"/>
      </patternFill>
    </fill>
  </fills>
  <borders count="88">
    <border>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top style="medium">
        <color indexed="64"/>
      </top>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style="double">
        <color indexed="64"/>
      </top>
      <bottom style="thin">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s>
  <cellStyleXfs count="4">
    <xf numFmtId="0" fontId="0" fillId="0" borderId="0"/>
    <xf numFmtId="164" fontId="1" fillId="0" borderId="0" applyFont="0" applyFill="0" applyBorder="0" applyAlignment="0" applyProtection="0"/>
    <xf numFmtId="0" fontId="13" fillId="0" borderId="0"/>
    <xf numFmtId="0" fontId="42" fillId="0" borderId="0" applyNumberFormat="0" applyFill="0" applyBorder="0" applyAlignment="0" applyProtection="0"/>
  </cellStyleXfs>
  <cellXfs count="323">
    <xf numFmtId="0" fontId="0" fillId="0" borderId="0" xfId="0"/>
    <xf numFmtId="0" fontId="3" fillId="0" borderId="0" xfId="0" applyFont="1" applyFill="1" applyBorder="1" applyAlignment="1">
      <alignment horizontal="center"/>
    </xf>
    <xf numFmtId="0" fontId="0" fillId="0" borderId="1" xfId="0" applyBorder="1"/>
    <xf numFmtId="1" fontId="4" fillId="2"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9" fillId="3" borderId="0" xfId="0" applyFont="1" applyFill="1"/>
    <xf numFmtId="0" fontId="12" fillId="3" borderId="0" xfId="0" applyFont="1" applyFill="1" applyBorder="1" applyAlignment="1">
      <alignment horizontal="center" vertical="center"/>
    </xf>
    <xf numFmtId="0" fontId="8" fillId="3" borderId="0" xfId="0" applyFont="1" applyFill="1" applyBorder="1" applyAlignment="1">
      <alignment vertical="center"/>
    </xf>
    <xf numFmtId="0" fontId="15" fillId="3" borderId="0" xfId="0" applyFont="1" applyFill="1" applyBorder="1" applyAlignment="1">
      <alignment horizontal="center" vertical="center" wrapText="1"/>
    </xf>
    <xf numFmtId="0" fontId="6" fillId="3" borderId="0" xfId="0" applyFont="1" applyFill="1" applyBorder="1" applyAlignment="1">
      <alignment vertical="center" wrapText="1"/>
    </xf>
    <xf numFmtId="0" fontId="6" fillId="3"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5" fillId="0" borderId="0" xfId="0" applyFont="1" applyFill="1" applyBorder="1" applyAlignment="1">
      <alignment horizontal="center" vertical="justify"/>
    </xf>
    <xf numFmtId="0" fontId="4" fillId="0" borderId="0" xfId="0" applyFont="1" applyFill="1" applyBorder="1" applyAlignment="1">
      <alignment horizontal="center" vertical="justify"/>
    </xf>
    <xf numFmtId="0" fontId="20" fillId="0" borderId="0" xfId="0" applyFont="1"/>
    <xf numFmtId="0" fontId="16" fillId="0" borderId="0" xfId="0" applyFont="1"/>
    <xf numFmtId="0" fontId="0" fillId="0" borderId="0" xfId="0" applyBorder="1"/>
    <xf numFmtId="165" fontId="0" fillId="0" borderId="0" xfId="0" applyNumberFormat="1"/>
    <xf numFmtId="0" fontId="5" fillId="4" borderId="0"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xf numFmtId="0" fontId="11" fillId="3" borderId="0" xfId="0" applyFont="1" applyFill="1" applyBorder="1" applyAlignment="1">
      <alignment horizontal="center" wrapText="1"/>
    </xf>
    <xf numFmtId="1" fontId="0" fillId="0" borderId="0" xfId="0" applyNumberFormat="1"/>
    <xf numFmtId="1" fontId="17" fillId="8" borderId="0" xfId="0" applyNumberFormat="1" applyFont="1" applyFill="1" applyBorder="1" applyAlignment="1">
      <alignment horizontal="center" vertical="center" wrapText="1"/>
    </xf>
    <xf numFmtId="0" fontId="0" fillId="8" borderId="1" xfId="0" applyFill="1" applyBorder="1"/>
    <xf numFmtId="0" fontId="0" fillId="8" borderId="0" xfId="0" applyFill="1"/>
    <xf numFmtId="0" fontId="0" fillId="8" borderId="0" xfId="0" applyFill="1" applyBorder="1"/>
    <xf numFmtId="0" fontId="24" fillId="5" borderId="14" xfId="0" applyFont="1" applyFill="1" applyBorder="1" applyAlignment="1">
      <alignment horizontal="center" vertical="center" wrapText="1"/>
    </xf>
    <xf numFmtId="0" fontId="24" fillId="7" borderId="14" xfId="0" applyFont="1" applyFill="1" applyBorder="1" applyAlignment="1">
      <alignment horizontal="center" vertical="center" wrapText="1"/>
    </xf>
    <xf numFmtId="1" fontId="24" fillId="7" borderId="14" xfId="0" applyNumberFormat="1" applyFont="1" applyFill="1" applyBorder="1" applyAlignment="1">
      <alignment horizontal="center" vertical="center" wrapText="1"/>
    </xf>
    <xf numFmtId="0" fontId="6" fillId="2" borderId="0" xfId="0" applyNumberFormat="1" applyFont="1" applyFill="1" applyBorder="1" applyAlignment="1">
      <alignment vertical="center" wrapText="1"/>
    </xf>
    <xf numFmtId="0" fontId="21" fillId="2" borderId="0" xfId="0" applyNumberFormat="1" applyFont="1" applyFill="1" applyBorder="1" applyAlignment="1">
      <alignment vertical="center" wrapText="1"/>
    </xf>
    <xf numFmtId="0" fontId="6" fillId="3" borderId="0" xfId="0" applyFont="1" applyFill="1" applyBorder="1" applyAlignment="1">
      <alignment horizontal="center" vertical="center"/>
    </xf>
    <xf numFmtId="0" fontId="22" fillId="3" borderId="0" xfId="0" applyFont="1" applyFill="1" applyBorder="1" applyAlignment="1"/>
    <xf numFmtId="0" fontId="25" fillId="3" borderId="0" xfId="0" applyFont="1" applyFill="1"/>
    <xf numFmtId="0" fontId="6" fillId="0" borderId="18" xfId="0" applyFont="1" applyFill="1" applyBorder="1" applyAlignment="1">
      <alignment horizontal="center" vertical="center" wrapText="1"/>
    </xf>
    <xf numFmtId="0" fontId="0" fillId="0" borderId="0" xfId="0" applyFill="1"/>
    <xf numFmtId="0" fontId="2"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5" fontId="27" fillId="12" borderId="0" xfId="0" applyNumberFormat="1" applyFont="1" applyFill="1" applyBorder="1" applyAlignment="1"/>
    <xf numFmtId="165" fontId="10" fillId="8" borderId="0" xfId="0" applyNumberFormat="1" applyFont="1" applyFill="1" applyBorder="1" applyAlignment="1">
      <alignment horizontal="center"/>
    </xf>
    <xf numFmtId="0" fontId="10" fillId="7" borderId="14" xfId="0" applyFont="1" applyFill="1" applyBorder="1" applyAlignment="1">
      <alignment horizontal="center" vertical="center" wrapText="1"/>
    </xf>
    <xf numFmtId="0" fontId="30" fillId="5" borderId="14" xfId="0" applyFont="1" applyFill="1" applyBorder="1" applyAlignment="1">
      <alignment horizontal="center" vertical="center" wrapText="1"/>
    </xf>
    <xf numFmtId="1" fontId="30" fillId="5" borderId="14" xfId="0" applyNumberFormat="1" applyFont="1" applyFill="1" applyBorder="1" applyAlignment="1">
      <alignment horizontal="center" vertical="center" wrapText="1"/>
    </xf>
    <xf numFmtId="1" fontId="5" fillId="3" borderId="15" xfId="0" applyNumberFormat="1"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30" fillId="7" borderId="14" xfId="0" applyFont="1" applyFill="1" applyBorder="1" applyAlignment="1">
      <alignment horizontal="center" vertical="center" wrapText="1"/>
    </xf>
    <xf numFmtId="1" fontId="30" fillId="7" borderId="14" xfId="0" applyNumberFormat="1" applyFont="1" applyFill="1" applyBorder="1" applyAlignment="1">
      <alignment horizontal="center" vertical="center" wrapText="1"/>
    </xf>
    <xf numFmtId="0" fontId="10" fillId="3" borderId="13" xfId="0" applyFont="1" applyFill="1" applyBorder="1" applyAlignment="1" applyProtection="1">
      <alignment horizontal="center" vertical="center" wrapText="1"/>
    </xf>
    <xf numFmtId="0" fontId="29" fillId="3" borderId="31" xfId="0" applyFont="1" applyFill="1" applyBorder="1" applyAlignment="1">
      <alignment vertical="center" wrapText="1"/>
    </xf>
    <xf numFmtId="0" fontId="1" fillId="0" borderId="0" xfId="0" applyFont="1"/>
    <xf numFmtId="0" fontId="27" fillId="11" borderId="2" xfId="0" applyFont="1" applyFill="1" applyBorder="1" applyAlignment="1">
      <alignment horizontal="center" vertical="center" wrapText="1"/>
    </xf>
    <xf numFmtId="0" fontId="27" fillId="11" borderId="37"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28" fillId="0" borderId="7" xfId="0" applyNumberFormat="1" applyFont="1" applyFill="1" applyBorder="1" applyAlignment="1">
      <alignment horizontal="center" vertical="center" wrapText="1"/>
    </xf>
    <xf numFmtId="3" fontId="0" fillId="0" borderId="0" xfId="0" applyNumberFormat="1"/>
    <xf numFmtId="0" fontId="35" fillId="0" borderId="0" xfId="0" applyFont="1"/>
    <xf numFmtId="165" fontId="34" fillId="8" borderId="0" xfId="0" applyNumberFormat="1" applyFont="1" applyFill="1" applyBorder="1" applyAlignment="1">
      <alignment horizontal="center"/>
    </xf>
    <xf numFmtId="0" fontId="14" fillId="3" borderId="0" xfId="0" applyFont="1" applyFill="1" applyAlignment="1">
      <alignment wrapText="1"/>
    </xf>
    <xf numFmtId="0" fontId="14" fillId="0" borderId="0" xfId="0" applyFont="1" applyBorder="1" applyAlignment="1">
      <alignment wrapText="1"/>
    </xf>
    <xf numFmtId="0" fontId="14" fillId="0" borderId="17" xfId="0" applyFont="1" applyBorder="1" applyAlignment="1">
      <alignment wrapText="1"/>
    </xf>
    <xf numFmtId="0" fontId="6" fillId="3" borderId="5" xfId="0"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15" fontId="14" fillId="0" borderId="0"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6" borderId="39"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4" xfId="0" applyFont="1" applyFill="1" applyBorder="1" applyAlignment="1">
      <alignment horizontal="center" vertical="center" wrapText="1"/>
    </xf>
    <xf numFmtId="0" fontId="6" fillId="6" borderId="40"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30" xfId="1" applyNumberFormat="1" applyFont="1" applyFill="1" applyBorder="1" applyAlignment="1" applyProtection="1">
      <alignment horizontal="center" vertical="center" textRotation="90" wrapText="1"/>
    </xf>
    <xf numFmtId="0" fontId="6" fillId="15" borderId="5"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7" fillId="0" borderId="39" xfId="0" applyFont="1" applyBorder="1" applyAlignment="1">
      <alignment wrapText="1"/>
    </xf>
    <xf numFmtId="0" fontId="4" fillId="3" borderId="3" xfId="1" applyNumberFormat="1" applyFont="1" applyFill="1" applyBorder="1" applyAlignment="1" applyProtection="1">
      <alignment horizontal="center" vertical="center" wrapText="1"/>
    </xf>
    <xf numFmtId="0" fontId="4" fillId="0" borderId="3" xfId="1"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7" fillId="0" borderId="24" xfId="1" applyNumberFormat="1" applyFont="1" applyFill="1" applyBorder="1" applyAlignment="1" applyProtection="1">
      <alignment horizontal="center" vertical="center" wrapText="1"/>
    </xf>
    <xf numFmtId="0" fontId="5" fillId="7" borderId="39" xfId="0" applyNumberFormat="1" applyFont="1" applyFill="1" applyBorder="1" applyAlignment="1" applyProtection="1">
      <alignment horizontal="center" vertical="center" wrapText="1"/>
    </xf>
    <xf numFmtId="3" fontId="5" fillId="7" borderId="39" xfId="0" applyNumberFormat="1" applyFont="1" applyFill="1" applyBorder="1" applyAlignment="1" applyProtection="1">
      <alignment horizontal="center" vertical="center" wrapText="1"/>
    </xf>
    <xf numFmtId="3" fontId="0" fillId="0" borderId="0" xfId="0" applyNumberFormat="1" applyFill="1"/>
    <xf numFmtId="0" fontId="15" fillId="0" borderId="3" xfId="0" applyFont="1" applyBorder="1" applyAlignment="1">
      <alignment horizontal="center" vertical="center" wrapText="1"/>
    </xf>
    <xf numFmtId="3" fontId="30" fillId="5" borderId="23" xfId="0" applyNumberFormat="1" applyFont="1" applyFill="1" applyBorder="1" applyAlignment="1">
      <alignment horizontal="center" vertical="center" wrapText="1"/>
    </xf>
    <xf numFmtId="3" fontId="30" fillId="7" borderId="14" xfId="0" applyNumberFormat="1" applyFont="1" applyFill="1" applyBorder="1" applyAlignment="1">
      <alignment horizontal="center" vertical="center" wrapText="1"/>
    </xf>
    <xf numFmtId="0" fontId="5" fillId="14" borderId="3" xfId="0" applyNumberFormat="1" applyFont="1" applyFill="1" applyBorder="1" applyAlignment="1" applyProtection="1">
      <alignment horizontal="center" vertical="center" wrapText="1"/>
    </xf>
    <xf numFmtId="0" fontId="10" fillId="14" borderId="3" xfId="0" applyFont="1" applyFill="1" applyBorder="1" applyAlignment="1">
      <alignment horizontal="center" vertical="center" wrapText="1"/>
    </xf>
    <xf numFmtId="0" fontId="5" fillId="14" borderId="3" xfId="0" applyFont="1" applyFill="1" applyBorder="1" applyAlignment="1">
      <alignment horizontal="center" vertical="center" wrapText="1"/>
    </xf>
    <xf numFmtId="3" fontId="5" fillId="14" borderId="3" xfId="0" applyNumberFormat="1" applyFont="1" applyFill="1" applyBorder="1" applyAlignment="1">
      <alignment horizontal="center" vertical="center" wrapText="1"/>
    </xf>
    <xf numFmtId="3" fontId="28" fillId="14" borderId="7"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0" fontId="4" fillId="3" borderId="42" xfId="1" applyNumberFormat="1" applyFont="1" applyFill="1" applyBorder="1" applyAlignment="1" applyProtection="1">
      <alignment horizontal="center" vertical="center" wrapText="1"/>
    </xf>
    <xf numFmtId="167" fontId="6" fillId="9" borderId="11" xfId="0" applyNumberFormat="1" applyFont="1" applyFill="1" applyBorder="1" applyAlignment="1">
      <alignment horizontal="center" vertical="center" wrapText="1"/>
    </xf>
    <xf numFmtId="167" fontId="6" fillId="9" borderId="7" xfId="0" applyNumberFormat="1" applyFont="1" applyFill="1" applyBorder="1" applyAlignment="1">
      <alignment horizontal="center" vertical="center" wrapText="1"/>
    </xf>
    <xf numFmtId="167" fontId="6" fillId="9" borderId="12" xfId="0" applyNumberFormat="1" applyFont="1" applyFill="1" applyBorder="1" applyAlignment="1">
      <alignment horizontal="center" vertical="center" wrapText="1"/>
    </xf>
    <xf numFmtId="0" fontId="0" fillId="6" borderId="0" xfId="0" applyFill="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45" xfId="0" applyFont="1" applyBorder="1" applyAlignment="1">
      <alignment horizontal="center" vertical="center"/>
    </xf>
    <xf numFmtId="0" fontId="0" fillId="8" borderId="45" xfId="0" applyFill="1" applyBorder="1" applyAlignment="1">
      <alignment horizontal="center" vertical="center"/>
    </xf>
    <xf numFmtId="0" fontId="6" fillId="8" borderId="45"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5" fontId="6" fillId="9" borderId="10" xfId="0" applyNumberFormat="1" applyFont="1" applyFill="1" applyBorder="1" applyAlignment="1">
      <alignment horizontal="center" vertical="center" textRotation="90" wrapText="1"/>
    </xf>
    <xf numFmtId="0" fontId="41" fillId="0" borderId="0" xfId="0" applyFont="1" applyAlignment="1">
      <alignment horizontal="center" vertical="center"/>
    </xf>
    <xf numFmtId="0" fontId="37" fillId="0" borderId="41" xfId="0" applyFont="1" applyBorder="1" applyAlignment="1">
      <alignment wrapText="1"/>
    </xf>
    <xf numFmtId="0" fontId="8" fillId="13" borderId="19" xfId="1" applyNumberFormat="1" applyFont="1" applyFill="1" applyBorder="1" applyAlignment="1" applyProtection="1">
      <alignment horizontal="center" vertical="center" wrapText="1"/>
    </xf>
    <xf numFmtId="1" fontId="4" fillId="3" borderId="0" xfId="0" applyNumberFormat="1" applyFont="1" applyFill="1" applyBorder="1" applyAlignment="1">
      <alignment horizontal="center" vertical="center" wrapText="1"/>
    </xf>
    <xf numFmtId="166" fontId="14" fillId="0" borderId="50" xfId="0" applyNumberFormat="1" applyFont="1" applyFill="1" applyBorder="1" applyAlignment="1" applyProtection="1">
      <alignment horizontal="center" vertical="center" wrapText="1"/>
    </xf>
    <xf numFmtId="0" fontId="6" fillId="0" borderId="51"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30" fillId="5" borderId="53" xfId="0" applyFont="1" applyFill="1" applyBorder="1" applyAlignment="1">
      <alignment horizontal="center" vertical="center" wrapText="1"/>
    </xf>
    <xf numFmtId="1" fontId="30" fillId="5" borderId="53" xfId="0" applyNumberFormat="1" applyFont="1" applyFill="1" applyBorder="1" applyAlignment="1">
      <alignment horizontal="center" vertical="center" wrapText="1"/>
    </xf>
    <xf numFmtId="0" fontId="10" fillId="3" borderId="50" xfId="0" applyFont="1" applyFill="1" applyBorder="1" applyAlignment="1" applyProtection="1">
      <alignment horizontal="center" vertical="center" wrapText="1"/>
    </xf>
    <xf numFmtId="1" fontId="5" fillId="3" borderId="51" xfId="0" applyNumberFormat="1" applyFont="1" applyFill="1" applyBorder="1" applyAlignment="1">
      <alignment horizontal="center" vertical="center" wrapText="1"/>
    </xf>
    <xf numFmtId="0" fontId="30" fillId="7" borderId="53" xfId="0" applyFont="1" applyFill="1" applyBorder="1" applyAlignment="1">
      <alignment horizontal="center" vertical="center" wrapText="1"/>
    </xf>
    <xf numFmtId="1" fontId="30" fillId="7" borderId="53" xfId="0" applyNumberFormat="1" applyFont="1" applyFill="1" applyBorder="1" applyAlignment="1">
      <alignment horizontal="center" vertical="center" wrapText="1"/>
    </xf>
    <xf numFmtId="3" fontId="30" fillId="7" borderId="53" xfId="0" applyNumberFormat="1" applyFont="1" applyFill="1" applyBorder="1" applyAlignment="1">
      <alignment horizontal="center" vertical="center" wrapText="1"/>
    </xf>
    <xf numFmtId="1" fontId="30" fillId="7" borderId="56" xfId="0" applyNumberFormat="1" applyFont="1" applyFill="1" applyBorder="1" applyAlignment="1">
      <alignment horizontal="center" vertical="center" wrapText="1"/>
    </xf>
    <xf numFmtId="1" fontId="30" fillId="7" borderId="57" xfId="0" applyNumberFormat="1" applyFont="1" applyFill="1" applyBorder="1" applyAlignment="1">
      <alignment horizontal="center" vertical="center" wrapText="1"/>
    </xf>
    <xf numFmtId="0" fontId="5" fillId="0" borderId="58" xfId="0" applyNumberFormat="1" applyFont="1" applyFill="1" applyBorder="1" applyAlignment="1" applyProtection="1">
      <alignment horizontal="center" vertical="center" wrapText="1"/>
    </xf>
    <xf numFmtId="0" fontId="5" fillId="0" borderId="59" xfId="0" applyNumberFormat="1" applyFont="1" applyFill="1" applyBorder="1" applyAlignment="1" applyProtection="1">
      <alignment horizontal="center" vertical="center" wrapText="1"/>
    </xf>
    <xf numFmtId="0" fontId="5" fillId="0" borderId="42" xfId="0" applyNumberFormat="1" applyFont="1" applyFill="1" applyBorder="1" applyAlignment="1" applyProtection="1">
      <alignment horizontal="center" vertical="center" wrapText="1"/>
    </xf>
    <xf numFmtId="166" fontId="5" fillId="0" borderId="18" xfId="0" applyNumberFormat="1" applyFont="1" applyFill="1" applyBorder="1" applyAlignment="1" applyProtection="1">
      <alignment horizontal="center" vertical="center" wrapText="1"/>
    </xf>
    <xf numFmtId="166" fontId="5" fillId="0" borderId="36" xfId="0" applyNumberFormat="1" applyFont="1" applyFill="1" applyBorder="1" applyAlignment="1" applyProtection="1">
      <alignment horizontal="center" vertical="center" wrapText="1"/>
    </xf>
    <xf numFmtId="0" fontId="5" fillId="14" borderId="58" xfId="0" applyNumberFormat="1" applyFont="1" applyFill="1" applyBorder="1" applyAlignment="1" applyProtection="1">
      <alignment horizontal="center" vertical="center" wrapText="1"/>
    </xf>
    <xf numFmtId="166" fontId="5" fillId="14" borderId="35" xfId="0" applyNumberFormat="1" applyFont="1" applyFill="1" applyBorder="1" applyAlignment="1" applyProtection="1">
      <alignment horizontal="center" vertical="center" wrapText="1"/>
    </xf>
    <xf numFmtId="0" fontId="4" fillId="3" borderId="61" xfId="1" applyNumberFormat="1" applyFont="1" applyFill="1" applyBorder="1" applyAlignment="1" applyProtection="1">
      <alignment horizontal="center" vertical="center" wrapText="1"/>
    </xf>
    <xf numFmtId="0" fontId="4" fillId="3" borderId="62" xfId="1" applyNumberFormat="1" applyFont="1" applyFill="1" applyBorder="1" applyAlignment="1" applyProtection="1">
      <alignment horizontal="center" vertical="center" wrapText="1"/>
    </xf>
    <xf numFmtId="0" fontId="4" fillId="10" borderId="11" xfId="1" applyNumberFormat="1" applyFont="1" applyFill="1" applyBorder="1" applyAlignment="1" applyProtection="1">
      <alignment horizontal="center" vertical="center" wrapText="1"/>
    </xf>
    <xf numFmtId="0" fontId="4" fillId="10" borderId="7" xfId="1" applyNumberFormat="1" applyFont="1" applyFill="1" applyBorder="1" applyAlignment="1" applyProtection="1">
      <alignment horizontal="center" vertical="center" wrapText="1"/>
    </xf>
    <xf numFmtId="0" fontId="6" fillId="10" borderId="7" xfId="1" applyNumberFormat="1" applyFont="1" applyFill="1" applyBorder="1" applyAlignment="1" applyProtection="1">
      <alignment horizontal="center" vertical="center" wrapText="1"/>
    </xf>
    <xf numFmtId="0" fontId="4" fillId="3" borderId="63" xfId="1" applyNumberFormat="1" applyFont="1" applyFill="1" applyBorder="1" applyAlignment="1" applyProtection="1">
      <alignment horizontal="center" vertical="center" wrapText="1"/>
    </xf>
    <xf numFmtId="0" fontId="4" fillId="3" borderId="64" xfId="1" applyNumberFormat="1" applyFont="1" applyFill="1" applyBorder="1" applyAlignment="1" applyProtection="1">
      <alignment horizontal="center" vertical="center" wrapText="1"/>
    </xf>
    <xf numFmtId="0" fontId="4" fillId="10" borderId="12" xfId="1" applyNumberFormat="1" applyFont="1" applyFill="1" applyBorder="1" applyAlignment="1" applyProtection="1">
      <alignment horizontal="center" vertical="center" wrapText="1"/>
    </xf>
    <xf numFmtId="0" fontId="4" fillId="0" borderId="10" xfId="1" applyNumberFormat="1" applyFont="1" applyFill="1" applyBorder="1" applyAlignment="1" applyProtection="1">
      <alignment horizontal="center" vertical="center" wrapText="1"/>
    </xf>
    <xf numFmtId="0" fontId="4" fillId="0" borderId="62" xfId="1"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center" vertical="center" wrapText="1"/>
    </xf>
    <xf numFmtId="0" fontId="4" fillId="0" borderId="22" xfId="1" applyNumberFormat="1" applyFont="1" applyFill="1" applyBorder="1" applyAlignment="1" applyProtection="1">
      <alignment horizontal="center" vertical="center" wrapText="1"/>
    </xf>
    <xf numFmtId="0" fontId="4" fillId="0" borderId="64" xfId="1" applyNumberFormat="1" applyFont="1" applyFill="1" applyBorder="1" applyAlignment="1" applyProtection="1">
      <alignment horizontal="center" vertical="center" wrapText="1"/>
    </xf>
    <xf numFmtId="0" fontId="4" fillId="0" borderId="10"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5" fillId="0" borderId="66" xfId="0" applyNumberFormat="1" applyFont="1" applyFill="1" applyBorder="1" applyAlignment="1" applyProtection="1">
      <alignment horizontal="center" vertical="center" wrapText="1"/>
    </xf>
    <xf numFmtId="0" fontId="5" fillId="0" borderId="67" xfId="0" applyNumberFormat="1" applyFont="1" applyFill="1" applyBorder="1" applyAlignment="1" applyProtection="1">
      <alignment horizontal="center" vertical="center" wrapText="1"/>
    </xf>
    <xf numFmtId="0" fontId="10" fillId="0" borderId="67" xfId="0" applyFont="1" applyFill="1" applyBorder="1" applyAlignment="1">
      <alignment horizontal="center" vertical="center" wrapText="1"/>
    </xf>
    <xf numFmtId="1" fontId="5" fillId="0" borderId="67" xfId="0" applyNumberFormat="1" applyFont="1" applyFill="1" applyBorder="1" applyAlignment="1">
      <alignment horizontal="center" vertical="center" wrapText="1"/>
    </xf>
    <xf numFmtId="0" fontId="5" fillId="0" borderId="67" xfId="0" applyFont="1" applyFill="1" applyBorder="1" applyAlignment="1">
      <alignment horizontal="center" vertical="center" wrapText="1"/>
    </xf>
    <xf numFmtId="3" fontId="28" fillId="0" borderId="68" xfId="0" applyNumberFormat="1" applyFont="1" applyFill="1" applyBorder="1" applyAlignment="1">
      <alignment horizontal="center" vertical="center" wrapText="1"/>
    </xf>
    <xf numFmtId="0" fontId="27" fillId="11" borderId="63" xfId="0" applyFont="1" applyFill="1" applyBorder="1" applyAlignment="1">
      <alignment horizontal="center" vertical="center" wrapText="1"/>
    </xf>
    <xf numFmtId="0" fontId="27" fillId="11" borderId="64" xfId="0" applyFont="1" applyFill="1" applyBorder="1" applyAlignment="1">
      <alignment horizontal="center" vertical="center" wrapText="1"/>
    </xf>
    <xf numFmtId="0" fontId="27" fillId="11" borderId="12" xfId="0" applyFont="1" applyFill="1" applyBorder="1" applyAlignment="1">
      <alignment horizontal="center" vertical="center" wrapText="1"/>
    </xf>
    <xf numFmtId="0" fontId="5" fillId="8" borderId="3" xfId="0" applyNumberFormat="1" applyFont="1" applyFill="1" applyBorder="1" applyAlignment="1" applyProtection="1">
      <alignment horizontal="center" vertical="center" wrapText="1"/>
    </xf>
    <xf numFmtId="0" fontId="10" fillId="8"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3" fontId="28" fillId="8" borderId="7" xfId="0" applyNumberFormat="1" applyFont="1" applyFill="1" applyBorder="1" applyAlignment="1">
      <alignment horizontal="center" vertical="center" wrapText="1"/>
    </xf>
    <xf numFmtId="0" fontId="5" fillId="8" borderId="58" xfId="0" applyNumberFormat="1" applyFont="1" applyFill="1" applyBorder="1" applyAlignment="1" applyProtection="1">
      <alignment horizontal="center" vertical="center" wrapText="1"/>
    </xf>
    <xf numFmtId="1" fontId="5" fillId="14" borderId="3" xfId="0" applyNumberFormat="1" applyFont="1" applyFill="1" applyBorder="1" applyAlignment="1">
      <alignment horizontal="center" vertical="center" wrapText="1"/>
    </xf>
    <xf numFmtId="166" fontId="5" fillId="14" borderId="18" xfId="0" applyNumberFormat="1" applyFont="1" applyFill="1" applyBorder="1" applyAlignment="1" applyProtection="1">
      <alignment horizontal="center" vertical="center" wrapText="1"/>
    </xf>
    <xf numFmtId="0" fontId="5" fillId="8" borderId="42" xfId="0" applyNumberFormat="1" applyFont="1" applyFill="1" applyBorder="1" applyAlignment="1" applyProtection="1">
      <alignment horizontal="center" vertical="center" wrapText="1"/>
    </xf>
    <xf numFmtId="0" fontId="5" fillId="14" borderId="42" xfId="0" applyNumberFormat="1" applyFont="1" applyFill="1" applyBorder="1" applyAlignment="1" applyProtection="1">
      <alignment horizontal="center" vertical="center" wrapText="1"/>
    </xf>
    <xf numFmtId="166" fontId="5" fillId="8" borderId="18" xfId="0" applyNumberFormat="1" applyFont="1" applyFill="1" applyBorder="1" applyAlignment="1" applyProtection="1">
      <alignment horizontal="center" vertical="center" wrapText="1"/>
    </xf>
    <xf numFmtId="0" fontId="5" fillId="14" borderId="65" xfId="0" applyNumberFormat="1" applyFont="1" applyFill="1" applyBorder="1" applyAlignment="1" applyProtection="1">
      <alignment horizontal="center" vertical="center" wrapText="1"/>
    </xf>
    <xf numFmtId="0" fontId="5" fillId="14" borderId="66" xfId="0" applyNumberFormat="1" applyFont="1" applyFill="1" applyBorder="1" applyAlignment="1" applyProtection="1">
      <alignment horizontal="center" vertical="center" wrapText="1"/>
    </xf>
    <xf numFmtId="0" fontId="5" fillId="14" borderId="67" xfId="0" applyNumberFormat="1" applyFont="1" applyFill="1" applyBorder="1" applyAlignment="1" applyProtection="1">
      <alignment horizontal="center" vertical="center" wrapText="1"/>
    </xf>
    <xf numFmtId="0" fontId="10" fillId="14" borderId="67" xfId="0" applyFont="1" applyFill="1" applyBorder="1" applyAlignment="1">
      <alignment horizontal="center" vertical="center" wrapText="1"/>
    </xf>
    <xf numFmtId="1" fontId="5" fillId="14" borderId="67" xfId="0" applyNumberFormat="1" applyFont="1" applyFill="1" applyBorder="1" applyAlignment="1">
      <alignment horizontal="center" vertical="center" wrapText="1"/>
    </xf>
    <xf numFmtId="0" fontId="5" fillId="14" borderId="67" xfId="0" applyFont="1" applyFill="1" applyBorder="1" applyAlignment="1">
      <alignment horizontal="center" vertical="center" wrapText="1"/>
    </xf>
    <xf numFmtId="3" fontId="28" fillId="14" borderId="68" xfId="0" applyNumberFormat="1" applyFont="1" applyFill="1" applyBorder="1" applyAlignment="1">
      <alignment horizontal="center" vertical="center" wrapText="1"/>
    </xf>
    <xf numFmtId="0" fontId="19" fillId="7" borderId="14"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6" fillId="15" borderId="10"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0" borderId="72" xfId="0" applyFont="1" applyBorder="1" applyAlignment="1">
      <alignment horizontal="center" vertical="center"/>
    </xf>
    <xf numFmtId="169" fontId="24" fillId="5" borderId="14" xfId="0" applyNumberFormat="1" applyFont="1" applyFill="1" applyBorder="1" applyAlignment="1">
      <alignment horizontal="center" vertical="center" wrapText="1"/>
    </xf>
    <xf numFmtId="15" fontId="6" fillId="9" borderId="5" xfId="0" applyNumberFormat="1" applyFont="1" applyFill="1" applyBorder="1" applyAlignment="1">
      <alignment horizontal="center" vertical="center" textRotation="90" wrapText="1"/>
    </xf>
    <xf numFmtId="15" fontId="6" fillId="9" borderId="22" xfId="0" applyNumberFormat="1" applyFont="1" applyFill="1" applyBorder="1" applyAlignment="1">
      <alignment horizontal="center" vertical="center" textRotation="90" wrapText="1"/>
    </xf>
    <xf numFmtId="166" fontId="27" fillId="0" borderId="75" xfId="0" applyNumberFormat="1" applyFont="1" applyFill="1" applyBorder="1" applyAlignment="1" applyProtection="1">
      <alignment horizontal="center" vertical="center" wrapText="1"/>
    </xf>
    <xf numFmtId="166" fontId="27" fillId="0" borderId="76" xfId="0" applyNumberFormat="1" applyFont="1" applyFill="1" applyBorder="1" applyAlignment="1" applyProtection="1">
      <alignment horizontal="center" vertical="center" wrapText="1"/>
    </xf>
    <xf numFmtId="166" fontId="27" fillId="0" borderId="77" xfId="0" applyNumberFormat="1" applyFont="1" applyFill="1" applyBorder="1" applyAlignment="1" applyProtection="1">
      <alignment horizontal="center" vertical="center" wrapText="1"/>
    </xf>
    <xf numFmtId="3" fontId="6" fillId="0" borderId="78" xfId="0" applyNumberFormat="1" applyFont="1" applyFill="1" applyBorder="1" applyAlignment="1">
      <alignment horizontal="center" vertical="center" wrapText="1"/>
    </xf>
    <xf numFmtId="0" fontId="6" fillId="0" borderId="58" xfId="0" applyFont="1" applyFill="1" applyBorder="1" applyAlignment="1">
      <alignment horizontal="center" vertical="center" wrapText="1"/>
    </xf>
    <xf numFmtId="3" fontId="6" fillId="0" borderId="58" xfId="0" applyNumberFormat="1" applyFont="1" applyFill="1" applyBorder="1" applyAlignment="1">
      <alignment horizontal="center" vertical="center" wrapText="1"/>
    </xf>
    <xf numFmtId="3" fontId="26" fillId="0" borderId="58" xfId="0" applyNumberFormat="1" applyFont="1" applyFill="1" applyBorder="1" applyAlignment="1">
      <alignment horizontal="center" vertical="center" wrapText="1"/>
    </xf>
    <xf numFmtId="166" fontId="27" fillId="0" borderId="79" xfId="0" applyNumberFormat="1" applyFont="1" applyFill="1" applyBorder="1" applyAlignment="1" applyProtection="1">
      <alignment horizontal="center" vertical="center" wrapText="1"/>
    </xf>
    <xf numFmtId="0" fontId="24" fillId="7" borderId="23"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19" fillId="7" borderId="23" xfId="0" applyFont="1" applyFill="1" applyBorder="1" applyAlignment="1">
      <alignment horizontal="center" vertical="center" wrapText="1"/>
    </xf>
    <xf numFmtId="3" fontId="6" fillId="0" borderId="80" xfId="0" applyNumberFormat="1" applyFont="1" applyFill="1" applyBorder="1" applyAlignment="1">
      <alignment horizontal="center" vertical="center" textRotation="90" wrapText="1"/>
    </xf>
    <xf numFmtId="3" fontId="6" fillId="0" borderId="65" xfId="0" applyNumberFormat="1" applyFont="1" applyFill="1" applyBorder="1" applyAlignment="1">
      <alignment horizontal="center" vertical="center" textRotation="90" wrapText="1"/>
    </xf>
    <xf numFmtId="0" fontId="42" fillId="0" borderId="0" xfId="3"/>
    <xf numFmtId="0" fontId="0" fillId="17" borderId="0" xfId="0" applyFill="1"/>
    <xf numFmtId="0" fontId="0" fillId="18" borderId="0" xfId="0" applyFill="1"/>
    <xf numFmtId="0" fontId="43" fillId="18" borderId="0" xfId="0" applyFont="1" applyFill="1" applyAlignment="1">
      <alignment vertical="center"/>
    </xf>
    <xf numFmtId="170" fontId="43" fillId="18" borderId="0" xfId="0" applyNumberFormat="1" applyFont="1" applyFill="1" applyAlignment="1">
      <alignment vertical="center"/>
    </xf>
    <xf numFmtId="0" fontId="0" fillId="0" borderId="0" xfId="0"/>
    <xf numFmtId="0" fontId="0" fillId="0" borderId="0" xfId="0"/>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 fillId="0" borderId="81" xfId="0" applyFont="1" applyBorder="1" applyAlignment="1">
      <alignment horizontal="center" vertical="center"/>
    </xf>
    <xf numFmtId="17" fontId="1" fillId="0" borderId="81" xfId="0" applyNumberFormat="1" applyFont="1" applyBorder="1" applyAlignment="1">
      <alignment horizontal="center" vertical="center"/>
    </xf>
    <xf numFmtId="0" fontId="1" fillId="0" borderId="83" xfId="0" applyFont="1" applyBorder="1" applyAlignment="1">
      <alignment horizontal="center" vertical="center"/>
    </xf>
    <xf numFmtId="0" fontId="6" fillId="5" borderId="9"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9" xfId="0" applyFont="1" applyFill="1" applyBorder="1" applyAlignment="1">
      <alignment horizontal="center" vertical="center" wrapText="1"/>
    </xf>
    <xf numFmtId="0" fontId="38" fillId="0" borderId="50" xfId="0" applyFont="1" applyFill="1" applyBorder="1" applyAlignment="1">
      <alignment horizontal="center" vertical="center"/>
    </xf>
    <xf numFmtId="0" fontId="4" fillId="10" borderId="73" xfId="1" applyNumberFormat="1" applyFont="1" applyFill="1" applyBorder="1" applyAlignment="1" applyProtection="1">
      <alignment horizontal="center" vertical="center" wrapText="1"/>
    </xf>
    <xf numFmtId="0" fontId="4" fillId="10" borderId="6" xfId="1" applyNumberFormat="1" applyFont="1" applyFill="1" applyBorder="1" applyAlignment="1" applyProtection="1">
      <alignment horizontal="center" vertical="center" wrapText="1"/>
    </xf>
    <xf numFmtId="0" fontId="4" fillId="10" borderId="74" xfId="1" applyNumberFormat="1" applyFont="1" applyFill="1" applyBorder="1" applyAlignment="1" applyProtection="1">
      <alignment horizontal="center" vertical="center" wrapText="1"/>
    </xf>
    <xf numFmtId="0" fontId="6" fillId="6" borderId="84" xfId="0" applyFont="1" applyFill="1" applyBorder="1" applyAlignment="1">
      <alignment horizontal="center" vertical="center" textRotation="90" wrapText="1"/>
    </xf>
    <xf numFmtId="0" fontId="46" fillId="3" borderId="0" xfId="0" applyFont="1" applyFill="1" applyAlignment="1">
      <alignment wrapText="1"/>
    </xf>
    <xf numFmtId="0" fontId="6" fillId="15" borderId="30" xfId="0" applyFont="1" applyFill="1" applyBorder="1" applyAlignment="1">
      <alignment horizontal="center" vertical="center" wrapText="1"/>
    </xf>
    <xf numFmtId="15" fontId="6" fillId="9" borderId="42" xfId="0" applyNumberFormat="1" applyFont="1" applyFill="1" applyBorder="1" applyAlignment="1">
      <alignment horizontal="center" vertical="center" textRotation="90" wrapText="1"/>
    </xf>
    <xf numFmtId="0" fontId="6" fillId="8"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6" fillId="8" borderId="84" xfId="0" applyFont="1" applyFill="1" applyBorder="1" applyAlignment="1">
      <alignment horizontal="center" vertical="center" wrapText="1"/>
    </xf>
    <xf numFmtId="168" fontId="0" fillId="0" borderId="81" xfId="0" applyNumberFormat="1" applyBorder="1" applyAlignment="1">
      <alignment horizontal="center" vertical="center"/>
    </xf>
    <xf numFmtId="168" fontId="0" fillId="0" borderId="48" xfId="0" applyNumberFormat="1" applyBorder="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0" fontId="6" fillId="5" borderId="69" xfId="0" applyFont="1" applyFill="1" applyBorder="1" applyAlignment="1">
      <alignment horizontal="center" vertical="center"/>
    </xf>
    <xf numFmtId="0" fontId="45" fillId="20" borderId="86" xfId="0" applyFont="1" applyFill="1" applyBorder="1" applyAlignment="1">
      <alignment horizontal="center" vertical="center"/>
    </xf>
    <xf numFmtId="0" fontId="47" fillId="0" borderId="0" xfId="0" applyFont="1" applyAlignment="1">
      <alignment horizontal="center" vertical="center"/>
    </xf>
    <xf numFmtId="0" fontId="45" fillId="20" borderId="87" xfId="0" applyFont="1" applyFill="1" applyBorder="1" applyAlignment="1">
      <alignment horizontal="center" vertical="center"/>
    </xf>
    <xf numFmtId="0" fontId="6" fillId="23" borderId="43" xfId="0" applyFont="1" applyFill="1" applyBorder="1" applyAlignment="1">
      <alignment horizontal="center" vertical="center"/>
    </xf>
    <xf numFmtId="0" fontId="6" fillId="23" borderId="43" xfId="0" applyFont="1" applyFill="1" applyBorder="1" applyAlignment="1">
      <alignment horizontal="center" vertical="center" wrapText="1"/>
    </xf>
    <xf numFmtId="0" fontId="6" fillId="23" borderId="70" xfId="0" applyFont="1" applyFill="1" applyBorder="1" applyAlignment="1">
      <alignment horizontal="center" vertical="center"/>
    </xf>
    <xf numFmtId="0" fontId="44" fillId="19" borderId="0" xfId="3" applyFont="1" applyFill="1" applyAlignment="1">
      <alignment horizontal="center" vertical="center"/>
    </xf>
    <xf numFmtId="0" fontId="1" fillId="21" borderId="0" xfId="0" applyFont="1" applyFill="1" applyBorder="1" applyAlignment="1">
      <alignment horizontal="center" vertical="center" wrapText="1"/>
    </xf>
    <xf numFmtId="0" fontId="1" fillId="21" borderId="31" xfId="0" applyFont="1" applyFill="1" applyBorder="1" applyAlignment="1">
      <alignment horizontal="center" vertical="center" wrapText="1"/>
    </xf>
    <xf numFmtId="0" fontId="42" fillId="0" borderId="0" xfId="3" applyAlignment="1">
      <alignment horizontal="center"/>
    </xf>
    <xf numFmtId="0" fontId="10" fillId="16" borderId="0" xfId="0" applyFont="1" applyFill="1" applyAlignment="1">
      <alignment horizontal="center" vertical="center"/>
    </xf>
    <xf numFmtId="0" fontId="4" fillId="0" borderId="58"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21" xfId="0" applyFont="1" applyFill="1" applyBorder="1" applyAlignment="1">
      <alignment horizontal="center" vertical="center" wrapText="1"/>
    </xf>
    <xf numFmtId="168" fontId="41" fillId="0" borderId="31" xfId="0" applyNumberFormat="1" applyFont="1" applyBorder="1" applyAlignment="1">
      <alignment horizontal="center" vertical="center"/>
    </xf>
    <xf numFmtId="0" fontId="40" fillId="0" borderId="0" xfId="0" applyFont="1" applyFill="1" applyBorder="1" applyAlignment="1">
      <alignment horizontal="center" vertical="center"/>
    </xf>
    <xf numFmtId="0" fontId="39" fillId="3" borderId="0" xfId="0" applyFont="1" applyFill="1" applyBorder="1" applyAlignment="1">
      <alignment horizontal="center" wrapText="1"/>
    </xf>
    <xf numFmtId="15" fontId="33" fillId="12" borderId="31" xfId="0" applyNumberFormat="1" applyFont="1" applyFill="1" applyBorder="1" applyAlignment="1">
      <alignment horizontal="center"/>
    </xf>
    <xf numFmtId="0" fontId="8" fillId="13" borderId="39" xfId="0" applyNumberFormat="1" applyFont="1" applyFill="1" applyBorder="1" applyAlignment="1">
      <alignment horizontal="center" vertical="center" wrapText="1"/>
    </xf>
    <xf numFmtId="0" fontId="8" fillId="13" borderId="60" xfId="0" applyNumberFormat="1" applyFont="1" applyFill="1" applyBorder="1" applyAlignment="1">
      <alignment horizontal="center" vertical="center" wrapText="1"/>
    </xf>
    <xf numFmtId="0" fontId="8" fillId="13" borderId="24" xfId="0" applyNumberFormat="1" applyFont="1" applyFill="1" applyBorder="1" applyAlignment="1">
      <alignment horizontal="center" vertical="center" wrapText="1"/>
    </xf>
    <xf numFmtId="0" fontId="8" fillId="13" borderId="40" xfId="0" applyNumberFormat="1" applyFont="1" applyFill="1" applyBorder="1" applyAlignment="1">
      <alignment horizontal="center" vertical="center" wrapText="1"/>
    </xf>
    <xf numFmtId="0" fontId="8" fillId="13" borderId="69" xfId="1" applyNumberFormat="1" applyFont="1" applyFill="1" applyBorder="1" applyAlignment="1" applyProtection="1">
      <alignment horizontal="center" vertical="center" wrapText="1"/>
    </xf>
    <xf numFmtId="0" fontId="8" fillId="13" borderId="43" xfId="1" applyNumberFormat="1" applyFont="1" applyFill="1" applyBorder="1" applyAlignment="1" applyProtection="1">
      <alignment horizontal="center" vertical="center" wrapText="1"/>
    </xf>
    <xf numFmtId="0" fontId="38" fillId="0" borderId="27"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8" xfId="0" applyFont="1" applyFill="1" applyBorder="1" applyAlignment="1">
      <alignment horizontal="center" vertical="center"/>
    </xf>
    <xf numFmtId="0" fontId="24" fillId="0" borderId="0" xfId="0" applyFont="1" applyFill="1" applyBorder="1" applyAlignment="1">
      <alignment horizontal="center" vertical="center" wrapText="1"/>
    </xf>
    <xf numFmtId="166" fontId="10" fillId="7" borderId="52" xfId="0" applyNumberFormat="1" applyFont="1" applyFill="1" applyBorder="1" applyAlignment="1" applyProtection="1">
      <alignment horizontal="center" vertical="center" wrapText="1"/>
    </xf>
    <xf numFmtId="166" fontId="10" fillId="7" borderId="33" xfId="0" applyNumberFormat="1" applyFont="1" applyFill="1" applyBorder="1" applyAlignment="1" applyProtection="1">
      <alignment horizontal="center" vertical="center" wrapText="1"/>
    </xf>
    <xf numFmtId="0" fontId="17" fillId="5" borderId="52" xfId="0" applyFont="1" applyFill="1" applyBorder="1" applyAlignment="1" applyProtection="1">
      <alignment horizontal="center" vertical="center" wrapText="1"/>
    </xf>
    <xf numFmtId="0" fontId="17" fillId="5" borderId="33" xfId="0" applyFont="1" applyFill="1" applyBorder="1" applyAlignment="1" applyProtection="1">
      <alignment horizontal="center" vertical="center" wrapText="1"/>
    </xf>
    <xf numFmtId="0" fontId="4" fillId="7" borderId="9" xfId="0" applyNumberFormat="1" applyFont="1" applyFill="1" applyBorder="1" applyAlignment="1" applyProtection="1">
      <alignment horizontal="center" vertical="center" wrapText="1"/>
    </xf>
    <xf numFmtId="0" fontId="4" fillId="7" borderId="71" xfId="0" applyNumberFormat="1" applyFont="1" applyFill="1" applyBorder="1" applyAlignment="1" applyProtection="1">
      <alignment horizontal="center" vertical="center" wrapText="1"/>
    </xf>
    <xf numFmtId="0" fontId="31" fillId="5" borderId="52" xfId="0" applyFont="1" applyFill="1" applyBorder="1" applyAlignment="1" applyProtection="1">
      <alignment horizontal="center" vertical="center" wrapText="1"/>
    </xf>
    <xf numFmtId="0" fontId="31" fillId="5" borderId="33" xfId="0" applyFont="1" applyFill="1" applyBorder="1" applyAlignment="1" applyProtection="1">
      <alignment horizontal="center" vertical="center" wrapText="1"/>
    </xf>
    <xf numFmtId="0" fontId="32" fillId="7" borderId="54" xfId="0" applyFont="1" applyFill="1" applyBorder="1" applyAlignment="1" applyProtection="1">
      <alignment horizontal="center" vertical="center" wrapText="1"/>
    </xf>
    <xf numFmtId="0" fontId="32" fillId="7" borderId="55" xfId="0" applyFont="1" applyFill="1" applyBorder="1" applyAlignment="1" applyProtection="1">
      <alignment horizontal="center" vertical="center" wrapText="1"/>
    </xf>
    <xf numFmtId="0" fontId="17" fillId="7" borderId="52"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7" borderId="52"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wrapText="1"/>
    </xf>
    <xf numFmtId="0" fontId="24" fillId="7" borderId="52" xfId="0" applyFont="1" applyFill="1" applyBorder="1" applyAlignment="1">
      <alignment horizontal="center" vertical="center" wrapText="1"/>
    </xf>
    <xf numFmtId="0" fontId="24" fillId="7" borderId="33" xfId="0" applyFont="1" applyFill="1" applyBorder="1" applyAlignment="1">
      <alignment horizontal="center" vertical="center" wrapText="1"/>
    </xf>
    <xf numFmtId="0" fontId="32" fillId="7" borderId="52" xfId="0" applyFont="1" applyFill="1" applyBorder="1" applyAlignment="1" applyProtection="1">
      <alignment horizontal="center" vertical="center" wrapText="1"/>
    </xf>
    <xf numFmtId="0" fontId="32" fillId="7" borderId="33" xfId="0" applyFont="1" applyFill="1" applyBorder="1" applyAlignment="1" applyProtection="1">
      <alignment horizontal="center" vertical="center" wrapText="1"/>
    </xf>
    <xf numFmtId="0" fontId="29" fillId="3" borderId="0" xfId="0" applyFont="1" applyFill="1" applyBorder="1" applyAlignment="1">
      <alignment horizontal="center" vertical="center" wrapText="1"/>
    </xf>
    <xf numFmtId="0" fontId="32" fillId="3" borderId="0" xfId="0" applyFont="1" applyFill="1" applyBorder="1" applyAlignment="1">
      <alignment horizontal="left" wrapText="1"/>
    </xf>
    <xf numFmtId="0" fontId="10" fillId="11" borderId="10" xfId="0" applyFont="1" applyFill="1" applyBorder="1" applyAlignment="1" applyProtection="1">
      <alignment horizontal="center" vertical="center" wrapText="1"/>
    </xf>
    <xf numFmtId="0" fontId="10" fillId="11" borderId="22" xfId="0" applyFont="1" applyFill="1" applyBorder="1" applyAlignment="1" applyProtection="1">
      <alignment horizontal="center" vertical="center" wrapText="1"/>
    </xf>
    <xf numFmtId="0" fontId="10" fillId="11" borderId="11" xfId="0" applyFont="1" applyFill="1" applyBorder="1" applyAlignment="1" applyProtection="1">
      <alignment horizontal="center" vertical="center" wrapText="1"/>
    </xf>
    <xf numFmtId="0" fontId="10" fillId="11" borderId="37" xfId="0" applyFont="1" applyFill="1" applyBorder="1" applyAlignment="1" applyProtection="1">
      <alignment horizontal="center" vertical="center" wrapText="1"/>
    </xf>
    <xf numFmtId="0" fontId="10" fillId="11" borderId="26"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27" fillId="11" borderId="27" xfId="0" applyFont="1" applyFill="1" applyBorder="1" applyAlignment="1">
      <alignment horizontal="center" vertical="center" textRotation="90" wrapText="1"/>
    </xf>
    <xf numFmtId="0" fontId="27" fillId="11" borderId="69" xfId="0" applyFont="1" applyFill="1" applyBorder="1" applyAlignment="1">
      <alignment horizontal="center" vertical="center" textRotation="90" wrapText="1"/>
    </xf>
    <xf numFmtId="0" fontId="27" fillId="11" borderId="28" xfId="0" applyFont="1" applyFill="1" applyBorder="1" applyAlignment="1">
      <alignment horizontal="center" vertical="center" textRotation="90" wrapText="1"/>
    </xf>
    <xf numFmtId="0" fontId="27" fillId="11" borderId="43" xfId="0" applyFont="1" applyFill="1" applyBorder="1" applyAlignment="1">
      <alignment horizontal="center" vertical="center" textRotation="90" wrapText="1"/>
    </xf>
    <xf numFmtId="0" fontId="0" fillId="0" borderId="43" xfId="0" applyBorder="1" applyAlignment="1">
      <alignment horizontal="center" vertical="center" textRotation="90" wrapText="1"/>
    </xf>
    <xf numFmtId="0" fontId="27" fillId="11" borderId="29" xfId="0" applyFont="1" applyFill="1" applyBorder="1" applyAlignment="1">
      <alignment horizontal="center" vertical="center" textRotation="90" wrapText="1"/>
    </xf>
    <xf numFmtId="0" fontId="27" fillId="11" borderId="70" xfId="0" applyFont="1" applyFill="1" applyBorder="1" applyAlignment="1">
      <alignment horizontal="center" vertical="center" textRotation="90" wrapText="1"/>
    </xf>
    <xf numFmtId="0" fontId="0" fillId="0" borderId="0" xfId="0"/>
    <xf numFmtId="0" fontId="10" fillId="11" borderId="2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horizontal="center" vertical="center"/>
    </xf>
    <xf numFmtId="0" fontId="41" fillId="0" borderId="0" xfId="0" applyFont="1" applyAlignment="1">
      <alignment horizontal="center" vertical="center"/>
    </xf>
    <xf numFmtId="0" fontId="1" fillId="16" borderId="0" xfId="0" applyFont="1" applyFill="1" applyAlignment="1">
      <alignment horizontal="center" vertical="center" wrapText="1"/>
    </xf>
    <xf numFmtId="0" fontId="0" fillId="16" borderId="0" xfId="0" applyFill="1" applyAlignment="1">
      <alignment horizontal="center" vertical="center" wrapText="1"/>
    </xf>
    <xf numFmtId="0" fontId="1" fillId="22" borderId="0" xfId="0" applyFont="1" applyFill="1" applyAlignment="1">
      <alignment horizontal="center"/>
    </xf>
    <xf numFmtId="0" fontId="0" fillId="22" borderId="0" xfId="0" applyFill="1" applyAlignment="1">
      <alignment horizontal="center"/>
    </xf>
  </cellXfs>
  <cellStyles count="4">
    <cellStyle name="Comma" xfId="1" builtinId="3"/>
    <cellStyle name="Hyperlink" xfId="3" builtinId="8"/>
    <cellStyle name="Normal" xfId="0" builtinId="0"/>
    <cellStyle name="Normal 2" xfId="2"/>
  </cellStyles>
  <dxfs count="22">
    <dxf>
      <alignment horizontal="center" vertical="center" textRotation="0" wrapText="0" indent="0"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2"/>
        <color auto="1"/>
        <name val="Times New Roman"/>
        <scheme val="none"/>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left>
        <right style="thin">
          <color theme="4"/>
        </right>
        <top style="thin">
          <color theme="4"/>
        </top>
        <bottom style="thin">
          <color theme="4"/>
        </bottom>
        <vertical/>
        <horizontal/>
      </border>
    </dxf>
    <dxf>
      <border outline="0">
        <bottom style="thin">
          <color theme="4"/>
        </bottom>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0" indent="0" justifyLastLine="0" shrinkToFit="0" readingOrder="0"/>
    </dxf>
    <dxf>
      <font>
        <b/>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5"/>
        <color auto="1"/>
        <name val="Times New Roman"/>
        <scheme val="none"/>
      </font>
      <numFmt numFmtId="166" formatCode="d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style="thin">
          <color indexed="64"/>
        </bottom>
        <vertical/>
        <horizontal/>
      </border>
      <protection locked="1" hidden="0"/>
    </dxf>
    <dxf>
      <border outline="0">
        <left style="double">
          <color indexed="64"/>
        </left>
        <right style="medium">
          <color indexed="64"/>
        </right>
        <top style="double">
          <color indexed="64"/>
        </top>
        <bottom style="double">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[monthly production report spreadsheet.xlsx]Sheet3!PivotTable5</c:name>
    <c:fmtId val="1"/>
  </c:pivotSource>
  <c:chart>
    <c:autoTitleDeleted val="0"/>
    <c:pivotFmts>
      <c:pivotFmt>
        <c:idx val="0"/>
        <c:spPr>
          <a:solidFill>
            <a:schemeClr val="accent1"/>
          </a:solidFill>
          <a:ln>
            <a:noFill/>
          </a:ln>
          <a:effectLst/>
        </c:spPr>
        <c:marker>
          <c:symbol val="none"/>
        </c:marker>
      </c:pivotFmt>
      <c:pivotFmt>
        <c:idx val="1"/>
        <c:spPr>
          <a:ln w="28575" cap="rnd">
            <a:solidFill>
              <a:schemeClr val="accent2"/>
            </a:solidFill>
            <a:round/>
          </a:ln>
          <a:effectLst/>
        </c:spPr>
        <c:marker>
          <c:symbol val="circle"/>
          <c:size val="5"/>
          <c:spPr>
            <a:solidFill>
              <a:schemeClr val="accent2"/>
            </a:solidFill>
            <a:ln w="9525">
              <a:solidFill>
                <a:schemeClr val="accent2"/>
              </a:solidFill>
            </a:ln>
            <a:effectLst/>
          </c:spPr>
        </c:marker>
      </c:pivotFmt>
    </c:pivotFmts>
    <c:plotArea>
      <c:layout/>
      <c:barChart>
        <c:barDir val="col"/>
        <c:grouping val="clustered"/>
        <c:varyColors val="0"/>
        <c:ser>
          <c:idx val="0"/>
          <c:order val="0"/>
          <c:tx>
            <c:strRef>
              <c:f>Sheet3!$F$46</c:f>
              <c:strCache>
                <c:ptCount val="1"/>
                <c:pt idx="0">
                  <c:v>Sum of Order Qty.</c:v>
                </c:pt>
              </c:strCache>
            </c:strRef>
          </c:tx>
          <c:spPr>
            <a:solidFill>
              <a:schemeClr val="accent1"/>
            </a:solidFill>
            <a:ln>
              <a:noFill/>
            </a:ln>
            <a:effectLst/>
          </c:spPr>
          <c:invertIfNegative val="0"/>
          <c:cat>
            <c:strRef>
              <c:f>Sheet3!$E$47:$E$52</c:f>
              <c:strCache>
                <c:ptCount val="5"/>
                <c:pt idx="0">
                  <c:v>235896</c:v>
                </c:pt>
                <c:pt idx="1">
                  <c:v>325467</c:v>
                </c:pt>
                <c:pt idx="2">
                  <c:v>2389547</c:v>
                </c:pt>
                <c:pt idx="3">
                  <c:v>D-58961</c:v>
                </c:pt>
                <c:pt idx="4">
                  <c:v>(blank)</c:v>
                </c:pt>
              </c:strCache>
            </c:strRef>
          </c:cat>
          <c:val>
            <c:numRef>
              <c:f>Sheet3!$F$47:$F$52</c:f>
              <c:numCache>
                <c:formatCode>General</c:formatCode>
                <c:ptCount val="5"/>
                <c:pt idx="0">
                  <c:v>3480</c:v>
                </c:pt>
                <c:pt idx="1">
                  <c:v>2940</c:v>
                </c:pt>
                <c:pt idx="2">
                  <c:v>1150</c:v>
                </c:pt>
                <c:pt idx="3">
                  <c:v>0</c:v>
                </c:pt>
                <c:pt idx="4">
                  <c:v>0</c:v>
                </c:pt>
              </c:numCache>
            </c:numRef>
          </c:val>
        </c:ser>
        <c:dLbls>
          <c:showLegendKey val="0"/>
          <c:showVal val="0"/>
          <c:showCatName val="0"/>
          <c:showSerName val="0"/>
          <c:showPercent val="0"/>
          <c:showBubbleSize val="0"/>
        </c:dLbls>
        <c:gapWidth val="219"/>
        <c:overlap val="-27"/>
        <c:axId val="185563136"/>
        <c:axId val="186929088"/>
      </c:barChart>
      <c:lineChart>
        <c:grouping val="stacked"/>
        <c:varyColors val="0"/>
        <c:ser>
          <c:idx val="1"/>
          <c:order val="1"/>
          <c:tx>
            <c:strRef>
              <c:f>Sheet3!$G$46</c:f>
              <c:strCache>
                <c:ptCount val="1"/>
                <c:pt idx="0">
                  <c:v>Sum of Received Qty.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Sheet3!$E$47:$E$52</c:f>
              <c:strCache>
                <c:ptCount val="5"/>
                <c:pt idx="0">
                  <c:v>235896</c:v>
                </c:pt>
                <c:pt idx="1">
                  <c:v>325467</c:v>
                </c:pt>
                <c:pt idx="2">
                  <c:v>2389547</c:v>
                </c:pt>
                <c:pt idx="3">
                  <c:v>D-58961</c:v>
                </c:pt>
                <c:pt idx="4">
                  <c:v>(blank)</c:v>
                </c:pt>
              </c:strCache>
            </c:strRef>
          </c:cat>
          <c:val>
            <c:numRef>
              <c:f>Sheet3!$G$47:$G$52</c:f>
              <c:numCache>
                <c:formatCode>General</c:formatCode>
                <c:ptCount val="5"/>
                <c:pt idx="0">
                  <c:v>1800</c:v>
                </c:pt>
                <c:pt idx="1">
                  <c:v>2400</c:v>
                </c:pt>
                <c:pt idx="2">
                  <c:v>0</c:v>
                </c:pt>
                <c:pt idx="3">
                  <c:v>0</c:v>
                </c:pt>
                <c:pt idx="4">
                  <c:v>0</c:v>
                </c:pt>
              </c:numCache>
            </c:numRef>
          </c:val>
          <c:smooth val="0"/>
        </c:ser>
        <c:dLbls>
          <c:showLegendKey val="0"/>
          <c:showVal val="0"/>
          <c:showCatName val="0"/>
          <c:showSerName val="0"/>
          <c:showPercent val="0"/>
          <c:showBubbleSize val="0"/>
        </c:dLbls>
        <c:marker val="1"/>
        <c:smooth val="0"/>
        <c:axId val="185802240"/>
        <c:axId val="186929664"/>
      </c:lineChart>
      <c:catAx>
        <c:axId val="1855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29088"/>
        <c:crosses val="autoZero"/>
        <c:auto val="1"/>
        <c:lblAlgn val="ctr"/>
        <c:lblOffset val="100"/>
        <c:noMultiLvlLbl val="0"/>
      </c:catAx>
      <c:valAx>
        <c:axId val="186929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563136"/>
        <c:crosses val="autoZero"/>
        <c:crossBetween val="between"/>
      </c:valAx>
      <c:valAx>
        <c:axId val="18692966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802240"/>
        <c:crosses val="max"/>
        <c:crossBetween val="between"/>
      </c:valAx>
      <c:catAx>
        <c:axId val="185802240"/>
        <c:scaling>
          <c:orientation val="minMax"/>
        </c:scaling>
        <c:delete val="1"/>
        <c:axPos val="b"/>
        <c:numFmt formatCode="General" sourceLinked="1"/>
        <c:majorTickMark val="out"/>
        <c:minorTickMark val="none"/>
        <c:tickLblPos val="nextTo"/>
        <c:crossAx val="18692966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[monthly production report spreadsheet.xlsx]Dash Board!PivotTable1</c:name>
    <c:fmtId val="0"/>
  </c:pivotSource>
  <c:chart>
    <c:autoTitleDeleted val="0"/>
    <c:pivotFmts>
      <c:pivotFmt>
        <c:idx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4F81BD">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marker>
          <c:symbol val="none"/>
        </c:marker>
        <c:dLbl>
          <c:idx val="0"/>
          <c:spPr>
            <a:solidFill>
              <a:srgbClr val="C0504D">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marker>
          <c:symbol val="none"/>
        </c:marker>
        <c:dLbl>
          <c:idx val="0"/>
          <c:spPr>
            <a:solidFill>
              <a:srgbClr val="9BBB59">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
        <c:spPr>
          <a:solidFill>
            <a:schemeClr val="accent4">
              <a:alpha val="88000"/>
            </a:schemeClr>
          </a:solidFill>
          <a:ln>
            <a:solidFill>
              <a:schemeClr val="accent4">
                <a:lumMod val="50000"/>
              </a:schemeClr>
            </a:solidFill>
          </a:ln>
          <a:effectLst/>
          <a:scene3d>
            <a:camera prst="orthographicFront"/>
            <a:lightRig rig="threePt" dir="t"/>
          </a:scene3d>
          <a:sp3d prstMaterial="flat">
            <a:contourClr>
              <a:schemeClr val="accent4">
                <a:lumMod val="50000"/>
              </a:schemeClr>
            </a:contourClr>
          </a:sp3d>
        </c:spPr>
        <c:marker>
          <c:symbol val="none"/>
        </c:marker>
        <c:dLbl>
          <c:idx val="0"/>
          <c:spPr>
            <a:solidFill>
              <a:srgbClr val="8064A2">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chemeClr val="accent5">
              <a:alpha val="88000"/>
            </a:schemeClr>
          </a:solidFill>
          <a:ln>
            <a:solidFill>
              <a:schemeClr val="accent5">
                <a:lumMod val="50000"/>
              </a:schemeClr>
            </a:solidFill>
          </a:ln>
          <a:effectLst/>
          <a:scene3d>
            <a:camera prst="orthographicFront"/>
            <a:lightRig rig="threePt" dir="t"/>
          </a:scene3d>
          <a:sp3d prstMaterial="flat">
            <a:contourClr>
              <a:schemeClr val="accent5">
                <a:lumMod val="50000"/>
              </a:schemeClr>
            </a:contourClr>
          </a:sp3d>
        </c:spPr>
        <c:marker>
          <c:symbol val="none"/>
        </c:marker>
        <c:dLbl>
          <c:idx val="0"/>
          <c:spPr>
            <a:solidFill>
              <a:srgbClr val="4BACC6">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marker>
          <c:symbol val="none"/>
        </c:marker>
        <c:dLbl>
          <c:idx val="0"/>
          <c:spPr>
            <a:solidFill>
              <a:srgbClr val="F79646">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'Dash Board'!$B$3</c:f>
              <c:strCache>
                <c:ptCount val="1"/>
                <c:pt idx="0">
                  <c:v>Received From</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rgbClr val="4F81BD">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dLbls>
          <c:cat>
            <c:strRef>
              <c:f>'Dash Board'!$A$4:$A$5</c:f>
              <c:strCache>
                <c:ptCount val="1"/>
                <c:pt idx="0">
                  <c:v>January</c:v>
                </c:pt>
              </c:strCache>
            </c:strRef>
          </c:cat>
          <c:val>
            <c:numRef>
              <c:f>'Dash Board'!$B$4:$B$5</c:f>
              <c:numCache>
                <c:formatCode>General</c:formatCode>
                <c:ptCount val="1"/>
                <c:pt idx="0">
                  <c:v>900</c:v>
                </c:pt>
              </c:numCache>
            </c:numRef>
          </c:val>
        </c:ser>
        <c:ser>
          <c:idx val="1"/>
          <c:order val="1"/>
          <c:tx>
            <c:strRef>
              <c:f>'Dash Board'!$C$3</c:f>
              <c:strCache>
                <c:ptCount val="1"/>
                <c:pt idx="0">
                  <c:v>Department 1</c:v>
                </c:pt>
              </c:strCache>
            </c:strRef>
          </c:tx>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rgbClr val="C0504D">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dLbls>
          <c:cat>
            <c:strRef>
              <c:f>'Dash Board'!$A$4:$A$5</c:f>
              <c:strCache>
                <c:ptCount val="1"/>
                <c:pt idx="0">
                  <c:v>January</c:v>
                </c:pt>
              </c:strCache>
            </c:strRef>
          </c:cat>
          <c:val>
            <c:numRef>
              <c:f>'Dash Board'!$C$4:$C$5</c:f>
              <c:numCache>
                <c:formatCode>General</c:formatCode>
                <c:ptCount val="1"/>
                <c:pt idx="0">
                  <c:v>220</c:v>
                </c:pt>
              </c:numCache>
            </c:numRef>
          </c:val>
        </c:ser>
        <c:ser>
          <c:idx val="2"/>
          <c:order val="2"/>
          <c:tx>
            <c:strRef>
              <c:f>'Dash Board'!$D$3</c:f>
              <c:strCache>
                <c:ptCount val="1"/>
                <c:pt idx="0">
                  <c:v>Department 2</c:v>
                </c:pt>
              </c:strCache>
            </c:strRef>
          </c:tx>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invertIfNegative val="0"/>
          <c:dLbls>
            <c:spPr>
              <a:solidFill>
                <a:srgbClr val="9BBB59">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dLbls>
          <c:cat>
            <c:strRef>
              <c:f>'Dash Board'!$A$4:$A$5</c:f>
              <c:strCache>
                <c:ptCount val="1"/>
                <c:pt idx="0">
                  <c:v>January</c:v>
                </c:pt>
              </c:strCache>
            </c:strRef>
          </c:cat>
          <c:val>
            <c:numRef>
              <c:f>'Dash Board'!$D$4:$D$5</c:f>
              <c:numCache>
                <c:formatCode>General</c:formatCode>
                <c:ptCount val="1"/>
                <c:pt idx="0">
                  <c:v>200</c:v>
                </c:pt>
              </c:numCache>
            </c:numRef>
          </c:val>
        </c:ser>
        <c:ser>
          <c:idx val="3"/>
          <c:order val="3"/>
          <c:tx>
            <c:strRef>
              <c:f>'Dash Board'!$E$3</c:f>
              <c:strCache>
                <c:ptCount val="1"/>
                <c:pt idx="0">
                  <c:v>Department 3</c:v>
                </c:pt>
              </c:strCache>
            </c:strRef>
          </c:tx>
          <c:spPr>
            <a:solidFill>
              <a:schemeClr val="accent4">
                <a:alpha val="88000"/>
              </a:schemeClr>
            </a:solidFill>
            <a:ln>
              <a:solidFill>
                <a:schemeClr val="accent4">
                  <a:lumMod val="50000"/>
                </a:schemeClr>
              </a:solidFill>
            </a:ln>
            <a:effectLst/>
            <a:scene3d>
              <a:camera prst="orthographicFront"/>
              <a:lightRig rig="threePt" dir="t"/>
            </a:scene3d>
            <a:sp3d prstMaterial="flat">
              <a:contourClr>
                <a:schemeClr val="accent4">
                  <a:lumMod val="50000"/>
                </a:schemeClr>
              </a:contourClr>
            </a:sp3d>
          </c:spPr>
          <c:invertIfNegative val="0"/>
          <c:dLbls>
            <c:spPr>
              <a:solidFill>
                <a:srgbClr val="8064A2">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dLbls>
          <c:cat>
            <c:strRef>
              <c:f>'Dash Board'!$A$4:$A$5</c:f>
              <c:strCache>
                <c:ptCount val="1"/>
                <c:pt idx="0">
                  <c:v>January</c:v>
                </c:pt>
              </c:strCache>
            </c:strRef>
          </c:cat>
          <c:val>
            <c:numRef>
              <c:f>'Dash Board'!$E$4:$E$5</c:f>
              <c:numCache>
                <c:formatCode>General</c:formatCode>
                <c:ptCount val="1"/>
                <c:pt idx="0">
                  <c:v>200</c:v>
                </c:pt>
              </c:numCache>
            </c:numRef>
          </c:val>
        </c:ser>
        <c:ser>
          <c:idx val="4"/>
          <c:order val="4"/>
          <c:tx>
            <c:strRef>
              <c:f>'Dash Board'!$F$3</c:f>
              <c:strCache>
                <c:ptCount val="1"/>
                <c:pt idx="0">
                  <c:v>Department 4</c:v>
                </c:pt>
              </c:strCache>
            </c:strRef>
          </c:tx>
          <c:spPr>
            <a:solidFill>
              <a:schemeClr val="accent5">
                <a:alpha val="88000"/>
              </a:schemeClr>
            </a:solidFill>
            <a:ln>
              <a:solidFill>
                <a:schemeClr val="accent5">
                  <a:lumMod val="50000"/>
                </a:schemeClr>
              </a:solidFill>
            </a:ln>
            <a:effectLst/>
            <a:scene3d>
              <a:camera prst="orthographicFront"/>
              <a:lightRig rig="threePt" dir="t"/>
            </a:scene3d>
            <a:sp3d prstMaterial="flat">
              <a:contourClr>
                <a:schemeClr val="accent5">
                  <a:lumMod val="50000"/>
                </a:schemeClr>
              </a:contourClr>
            </a:sp3d>
          </c:spPr>
          <c:invertIfNegative val="0"/>
          <c:dLbls>
            <c:spPr>
              <a:solidFill>
                <a:srgbClr val="4BACC6">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dLbls>
          <c:cat>
            <c:strRef>
              <c:f>'Dash Board'!$A$4:$A$5</c:f>
              <c:strCache>
                <c:ptCount val="1"/>
                <c:pt idx="0">
                  <c:v>January</c:v>
                </c:pt>
              </c:strCache>
            </c:strRef>
          </c:cat>
          <c:val>
            <c:numRef>
              <c:f>'Dash Board'!$F$4:$F$5</c:f>
              <c:numCache>
                <c:formatCode>General</c:formatCode>
                <c:ptCount val="1"/>
                <c:pt idx="0">
                  <c:v>195</c:v>
                </c:pt>
              </c:numCache>
            </c:numRef>
          </c:val>
        </c:ser>
        <c:ser>
          <c:idx val="5"/>
          <c:order val="5"/>
          <c:tx>
            <c:strRef>
              <c:f>'Dash Board'!$G$3</c:f>
              <c:strCache>
                <c:ptCount val="1"/>
                <c:pt idx="0">
                  <c:v>Department 5</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rgbClr val="F79646">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dLbls>
          <c:cat>
            <c:strRef>
              <c:f>'Dash Board'!$A$4:$A$5</c:f>
              <c:strCache>
                <c:ptCount val="1"/>
                <c:pt idx="0">
                  <c:v>January</c:v>
                </c:pt>
              </c:strCache>
            </c:strRef>
          </c:cat>
          <c:val>
            <c:numRef>
              <c:f>'Dash Board'!$G$4:$G$5</c:f>
              <c:numCache>
                <c:formatCode>General</c:formatCode>
                <c:ptCount val="1"/>
                <c:pt idx="0">
                  <c:v>140</c:v>
                </c:pt>
              </c:numCache>
            </c:numRef>
          </c:val>
        </c:ser>
        <c:dLbls>
          <c:showLegendKey val="0"/>
          <c:showVal val="1"/>
          <c:showCatName val="0"/>
          <c:showSerName val="0"/>
          <c:showPercent val="0"/>
          <c:showBubbleSize val="0"/>
        </c:dLbls>
        <c:gapWidth val="84"/>
        <c:gapDepth val="53"/>
        <c:shape val="box"/>
        <c:axId val="191617024"/>
        <c:axId val="186931968"/>
        <c:axId val="0"/>
      </c:bar3DChart>
      <c:catAx>
        <c:axId val="191617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6931968"/>
        <c:crosses val="autoZero"/>
        <c:auto val="1"/>
        <c:lblAlgn val="ctr"/>
        <c:lblOffset val="100"/>
        <c:noMultiLvlLbl val="0"/>
      </c:catAx>
      <c:valAx>
        <c:axId val="186931968"/>
        <c:scaling>
          <c:orientation val="minMax"/>
        </c:scaling>
        <c:delete val="1"/>
        <c:axPos val="l"/>
        <c:numFmt formatCode="General" sourceLinked="1"/>
        <c:majorTickMark val="out"/>
        <c:minorTickMark val="none"/>
        <c:tickLblPos val="nextTo"/>
        <c:crossAx val="191617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[monthly production report spreadsheet.xlsx]Sheet3!PivotTable5</c:name>
    <c:fmtId val="6"/>
  </c:pivotSource>
  <c:chart>
    <c:autoTitleDeleted val="0"/>
    <c:pivotFmts>
      <c:pivotFmt>
        <c:idx val="0"/>
        <c:spPr>
          <a:solidFill>
            <a:schemeClr val="accent1"/>
          </a:solidFill>
          <a:ln>
            <a:noFill/>
          </a:ln>
          <a:effectLst/>
        </c:spPr>
        <c:marker>
          <c:symbol val="none"/>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a:noFill/>
          </a:ln>
          <a:effectLst/>
        </c:spPr>
        <c:marker>
          <c:symbol val="none"/>
        </c:marker>
      </c:pivotFmt>
      <c:pivotFmt>
        <c:idx val="3"/>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4"/>
        <c:spPr>
          <a:solidFill>
            <a:schemeClr val="accent1"/>
          </a:solidFill>
          <a:ln>
            <a:noFill/>
          </a:ln>
          <a:effectLst/>
        </c:spPr>
        <c:marker>
          <c:symbol val="none"/>
        </c:marker>
      </c:pivotFmt>
      <c:pivotFmt>
        <c:idx val="5"/>
        <c:spPr>
          <a:ln w="28575" cap="rnd">
            <a:solidFill>
              <a:schemeClr val="accent2"/>
            </a:solidFill>
            <a:round/>
          </a:ln>
          <a:effectLst/>
        </c:spPr>
        <c:marker>
          <c:symbol val="circle"/>
          <c:size val="5"/>
          <c:spPr>
            <a:solidFill>
              <a:schemeClr val="accent2"/>
            </a:solidFill>
            <a:ln w="9525">
              <a:solidFill>
                <a:schemeClr val="accent2"/>
              </a:solidFill>
            </a:ln>
            <a:effectLst/>
          </c:spPr>
        </c:marker>
      </c:pivotFmt>
    </c:pivotFmts>
    <c:plotArea>
      <c:layout/>
      <c:barChart>
        <c:barDir val="col"/>
        <c:grouping val="clustered"/>
        <c:varyColors val="0"/>
        <c:ser>
          <c:idx val="0"/>
          <c:order val="0"/>
          <c:tx>
            <c:strRef>
              <c:f>Sheet3!$F$46</c:f>
              <c:strCache>
                <c:ptCount val="1"/>
                <c:pt idx="0">
                  <c:v>Sum of Order Qty.</c:v>
                </c:pt>
              </c:strCache>
            </c:strRef>
          </c:tx>
          <c:spPr>
            <a:solidFill>
              <a:schemeClr val="accent1"/>
            </a:solidFill>
            <a:ln>
              <a:noFill/>
            </a:ln>
            <a:effectLst/>
          </c:spPr>
          <c:invertIfNegative val="0"/>
          <c:cat>
            <c:strRef>
              <c:f>Sheet3!$E$47:$E$52</c:f>
              <c:strCache>
                <c:ptCount val="5"/>
                <c:pt idx="0">
                  <c:v>235896</c:v>
                </c:pt>
                <c:pt idx="1">
                  <c:v>325467</c:v>
                </c:pt>
                <c:pt idx="2">
                  <c:v>2389547</c:v>
                </c:pt>
                <c:pt idx="3">
                  <c:v>D-58961</c:v>
                </c:pt>
                <c:pt idx="4">
                  <c:v>(blank)</c:v>
                </c:pt>
              </c:strCache>
            </c:strRef>
          </c:cat>
          <c:val>
            <c:numRef>
              <c:f>Sheet3!$F$47:$F$52</c:f>
              <c:numCache>
                <c:formatCode>General</c:formatCode>
                <c:ptCount val="5"/>
                <c:pt idx="0">
                  <c:v>3480</c:v>
                </c:pt>
                <c:pt idx="1">
                  <c:v>2940</c:v>
                </c:pt>
                <c:pt idx="2">
                  <c:v>1150</c:v>
                </c:pt>
                <c:pt idx="3">
                  <c:v>0</c:v>
                </c:pt>
                <c:pt idx="4">
                  <c:v>0</c:v>
                </c:pt>
              </c:numCache>
            </c:numRef>
          </c:val>
        </c:ser>
        <c:dLbls>
          <c:showLegendKey val="0"/>
          <c:showVal val="0"/>
          <c:showCatName val="0"/>
          <c:showSerName val="0"/>
          <c:showPercent val="0"/>
          <c:showBubbleSize val="0"/>
        </c:dLbls>
        <c:gapWidth val="219"/>
        <c:overlap val="-27"/>
        <c:axId val="191618048"/>
        <c:axId val="191521344"/>
      </c:barChart>
      <c:lineChart>
        <c:grouping val="stacked"/>
        <c:varyColors val="0"/>
        <c:ser>
          <c:idx val="1"/>
          <c:order val="1"/>
          <c:tx>
            <c:strRef>
              <c:f>Sheet3!$G$46</c:f>
              <c:strCache>
                <c:ptCount val="1"/>
                <c:pt idx="0">
                  <c:v>Sum of Received Qty.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Sheet3!$E$47:$E$52</c:f>
              <c:strCache>
                <c:ptCount val="5"/>
                <c:pt idx="0">
                  <c:v>235896</c:v>
                </c:pt>
                <c:pt idx="1">
                  <c:v>325467</c:v>
                </c:pt>
                <c:pt idx="2">
                  <c:v>2389547</c:v>
                </c:pt>
                <c:pt idx="3">
                  <c:v>D-58961</c:v>
                </c:pt>
                <c:pt idx="4">
                  <c:v>(blank)</c:v>
                </c:pt>
              </c:strCache>
            </c:strRef>
          </c:cat>
          <c:val>
            <c:numRef>
              <c:f>Sheet3!$G$47:$G$52</c:f>
              <c:numCache>
                <c:formatCode>General</c:formatCode>
                <c:ptCount val="5"/>
                <c:pt idx="0">
                  <c:v>1800</c:v>
                </c:pt>
                <c:pt idx="1">
                  <c:v>2400</c:v>
                </c:pt>
                <c:pt idx="2">
                  <c:v>0</c:v>
                </c:pt>
                <c:pt idx="3">
                  <c:v>0</c:v>
                </c:pt>
                <c:pt idx="4">
                  <c:v>0</c:v>
                </c:pt>
              </c:numCache>
            </c:numRef>
          </c:val>
          <c:smooth val="0"/>
        </c:ser>
        <c:dLbls>
          <c:showLegendKey val="0"/>
          <c:showVal val="0"/>
          <c:showCatName val="0"/>
          <c:showSerName val="0"/>
          <c:showPercent val="0"/>
          <c:showBubbleSize val="0"/>
        </c:dLbls>
        <c:marker val="1"/>
        <c:smooth val="0"/>
        <c:axId val="191618560"/>
        <c:axId val="191521920"/>
      </c:lineChart>
      <c:catAx>
        <c:axId val="19161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521344"/>
        <c:crosses val="autoZero"/>
        <c:auto val="1"/>
        <c:lblAlgn val="ctr"/>
        <c:lblOffset val="100"/>
        <c:noMultiLvlLbl val="0"/>
      </c:catAx>
      <c:valAx>
        <c:axId val="191521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18048"/>
        <c:crosses val="autoZero"/>
        <c:crossBetween val="between"/>
      </c:valAx>
      <c:valAx>
        <c:axId val="19152192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18560"/>
        <c:crosses val="max"/>
        <c:crossBetween val="between"/>
      </c:valAx>
      <c:catAx>
        <c:axId val="191618560"/>
        <c:scaling>
          <c:orientation val="minMax"/>
        </c:scaling>
        <c:delete val="1"/>
        <c:axPos val="b"/>
        <c:numFmt formatCode="General" sourceLinked="1"/>
        <c:majorTickMark val="out"/>
        <c:minorTickMark val="none"/>
        <c:tickLblPos val="nextTo"/>
        <c:crossAx val="191521920"/>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26071</xdr:colOff>
      <xdr:row>0</xdr:row>
      <xdr:rowOff>145548</xdr:rowOff>
    </xdr:from>
    <xdr:ext cx="5081840" cy="937629"/>
    <xdr:sp macro="" textlink="">
      <xdr:nvSpPr>
        <xdr:cNvPr id="2" name="Rectangle 1"/>
        <xdr:cNvSpPr/>
      </xdr:nvSpPr>
      <xdr:spPr>
        <a:xfrm>
          <a:off x="635671" y="145548"/>
          <a:ext cx="5081840" cy="937629"/>
        </a:xfrm>
        <a:prstGeom prst="rect">
          <a:avLst/>
        </a:prstGeom>
        <a:noFill/>
      </xdr:spPr>
      <xdr:txBody>
        <a:bodyPr wrap="none" lIns="91440" tIns="45720" rIns="91440" bIns="45720">
          <a:sp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COMPANY NAME</a:t>
          </a:r>
        </a:p>
      </xdr:txBody>
    </xdr:sp>
    <xdr:clientData/>
  </xdr:oneCellAnchor>
  <xdr:twoCellAnchor editAs="oneCell">
    <xdr:from>
      <xdr:col>10</xdr:col>
      <xdr:colOff>15875</xdr:colOff>
      <xdr:row>2</xdr:row>
      <xdr:rowOff>0</xdr:rowOff>
    </xdr:from>
    <xdr:to>
      <xdr:col>14</xdr:col>
      <xdr:colOff>41275</xdr:colOff>
      <xdr:row>13</xdr:row>
      <xdr:rowOff>28575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0" y="219075"/>
          <a:ext cx="2463800" cy="1847850"/>
        </a:xfrm>
        <a:prstGeom prst="rect">
          <a:avLst/>
        </a:prstGeom>
        <a:ln>
          <a:noFill/>
        </a:ln>
        <a:effectLst>
          <a:softEdge rad="112500"/>
        </a:effectLst>
      </xdr:spPr>
    </xdr:pic>
    <xdr:clientData/>
  </xdr:twoCellAnchor>
  <xdr:oneCellAnchor>
    <xdr:from>
      <xdr:col>8</xdr:col>
      <xdr:colOff>126440</xdr:colOff>
      <xdr:row>12</xdr:row>
      <xdr:rowOff>145548</xdr:rowOff>
    </xdr:from>
    <xdr:ext cx="2899896" cy="1782924"/>
    <xdr:sp macro="" textlink="">
      <xdr:nvSpPr>
        <xdr:cNvPr id="5" name="Rectangle 4"/>
        <xdr:cNvSpPr/>
      </xdr:nvSpPr>
      <xdr:spPr>
        <a:xfrm>
          <a:off x="4479365" y="2021973"/>
          <a:ext cx="2899896" cy="1782924"/>
        </a:xfrm>
        <a:prstGeom prst="rect">
          <a:avLst/>
        </a:prstGeom>
        <a:noFill/>
      </xdr:spPr>
      <xdr:txBody>
        <a:bodyPr wrap="none" lIns="91440" tIns="45720" rIns="91440" bIns="45720">
          <a:spAutoFit/>
        </a:bodyPr>
        <a:lstStyle/>
        <a:p>
          <a:pPr algn="ctr"/>
          <a:r>
            <a:rPr lang="en-US" sz="5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Company</a:t>
          </a:r>
        </a:p>
        <a:p>
          <a:pPr algn="ctr"/>
          <a:r>
            <a:rPr lang="en-US" sz="5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Info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609600</xdr:colOff>
      <xdr:row>1</xdr:row>
      <xdr:rowOff>0</xdr:rowOff>
    </xdr:to>
    <xdr:pic>
      <xdr:nvPicPr>
        <xdr:cNvPr id="102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2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2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2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3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3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3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3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3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3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4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4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4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4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4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4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4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5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5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5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5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5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5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5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6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6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6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6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6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6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6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7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7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7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7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7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7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7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8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8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8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8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8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8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9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9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9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9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9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09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09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0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0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0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0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0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0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0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1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1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1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1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1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1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2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2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2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2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2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2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2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3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3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3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3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3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3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3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4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4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4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4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4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4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5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5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5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5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5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5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5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6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6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6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6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6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6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6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7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7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7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7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7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7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8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8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8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8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8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8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8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9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9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9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9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9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19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19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0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0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0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0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0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0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1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1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1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1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1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1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1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2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2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2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2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2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2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2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3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3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3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3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3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3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4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4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4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4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4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4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49"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5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52"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5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55"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5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58"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5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61"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6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64"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6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67"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6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70"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7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73"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7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76" name="Picture 25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7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79" name="Picture 25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8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82" name="Picture 26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8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85" name="Picture 26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8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88" name="Picture 26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8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91" name="Picture 270"/>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9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94" name="Picture 273"/>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9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297" name="Picture 276"/>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29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00" name="Picture 279"/>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0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03" name="Picture 28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0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06" name="Picture 28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0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09" name="Picture 28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1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12" name="Picture 29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1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15" name="Picture 29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1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18" name="Picture 29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1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21" name="Picture 300"/>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2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24" name="Picture 303"/>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2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27" name="Picture 306"/>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2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30" name="Picture 309"/>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3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33" name="Picture 31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3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36" name="Picture 31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3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39" name="Picture 31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4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42" name="Picture 32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4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45" name="Picture 32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4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48" name="Picture 32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4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51" name="Picture 330"/>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5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54" name="Picture 333"/>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5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57" name="Picture 336"/>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5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60" name="Picture 339"/>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6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63" name="Picture 34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6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66" name="Picture 34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6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69" name="Picture 34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7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72" name="Picture 35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7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75" name="Picture 35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7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78" name="Picture 35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7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81" name="Picture 360"/>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8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84" name="Picture 363"/>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8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87" name="Picture 366"/>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8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90" name="Picture 369"/>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9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93" name="Picture 37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9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95" name="Picture 37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9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397" name="Picture 37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39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00" name="Picture 37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0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03" name="Picture 38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0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06" name="Picture 38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0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09" name="Picture 38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1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12" name="Picture 39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1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15" name="Picture 39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1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18" name="Picture 39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1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21" name="Picture 400"/>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2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24" name="Picture 403"/>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2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27" name="Picture 406"/>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2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30" name="Picture 409"/>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31"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33" name="Picture 41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3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36" name="Picture 41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3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39" name="Picture 41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4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42" name="Picture 42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4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45" name="Picture 42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4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48" name="Picture 42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49"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51" name="Picture 430"/>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5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54" name="Picture 433"/>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55"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57" name="Picture 436"/>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58"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59" name="Picture 439"/>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6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61" name="Picture 442"/>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62"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63" name="Picture 445"/>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64"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66" name="Picture 448"/>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67"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69" name="Picture 451"/>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70"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72" name="Picture 454"/>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73"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609600</xdr:colOff>
      <xdr:row>1</xdr:row>
      <xdr:rowOff>0</xdr:rowOff>
    </xdr:to>
    <xdr:pic>
      <xdr:nvPicPr>
        <xdr:cNvPr id="1475" name="Picture 457"/>
        <xdr:cNvPicPr>
          <a:picLocks noChangeAspect="1" noChangeArrowheads="1"/>
        </xdr:cNvPicPr>
      </xdr:nvPicPr>
      <xdr:blipFill>
        <a:blip xmlns:r="http://schemas.openxmlformats.org/officeDocument/2006/relationships" r:embed="rId1"/>
        <a:srcRect/>
        <a:stretch>
          <a:fillRect/>
        </a:stretch>
      </xdr:blipFill>
      <xdr:spPr bwMode="auto">
        <a:xfrm>
          <a:off x="47625" y="0"/>
          <a:ext cx="609600" cy="0"/>
        </a:xfrm>
        <a:prstGeom prst="rect">
          <a:avLst/>
        </a:prstGeom>
        <a:noFill/>
        <a:ln w="1">
          <a:noFill/>
          <a:miter lim="800000"/>
          <a:headEnd/>
          <a:tailEnd/>
        </a:ln>
      </xdr:spPr>
    </xdr:pic>
    <xdr:clientData/>
  </xdr:twoCellAnchor>
  <xdr:twoCellAnchor editAs="oneCell">
    <xdr:from>
      <xdr:col>4</xdr:col>
      <xdr:colOff>0</xdr:colOff>
      <xdr:row>1</xdr:row>
      <xdr:rowOff>0</xdr:rowOff>
    </xdr:from>
    <xdr:to>
      <xdr:col>4</xdr:col>
      <xdr:colOff>571500</xdr:colOff>
      <xdr:row>1</xdr:row>
      <xdr:rowOff>0</xdr:rowOff>
    </xdr:to>
    <xdr:pic>
      <xdr:nvPicPr>
        <xdr:cNvPr id="1476" name="Picture 255"/>
        <xdr:cNvPicPr>
          <a:picLocks noChangeAspect="1" noChangeArrowheads="1"/>
        </xdr:cNvPicPr>
      </xdr:nvPicPr>
      <xdr:blipFill>
        <a:blip xmlns:r="http://schemas.openxmlformats.org/officeDocument/2006/relationships" r:embed="rId1"/>
        <a:srcRect/>
        <a:stretch>
          <a:fillRect/>
        </a:stretch>
      </xdr:blipFill>
      <xdr:spPr bwMode="auto">
        <a:xfrm>
          <a:off x="238125" y="0"/>
          <a:ext cx="571500" cy="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190500</xdr:colOff>
      <xdr:row>9</xdr:row>
      <xdr:rowOff>85725</xdr:rowOff>
    </xdr:from>
    <xdr:to>
      <xdr:col>8</xdr:col>
      <xdr:colOff>19050</xdr:colOff>
      <xdr:row>45</xdr:row>
      <xdr:rowOff>38100</xdr:rowOff>
    </xdr:to>
    <xdr:sp macro="" textlink="">
      <xdr:nvSpPr>
        <xdr:cNvPr id="2" name="Rectangle 1"/>
        <xdr:cNvSpPr>
          <a:spLocks noTextEdit="1"/>
        </xdr:cNvSpPr>
      </xdr:nvSpPr>
      <xdr:spPr>
        <a:xfrm>
          <a:off x="5495925" y="1057275"/>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later.If the shape was modified in an earlier version of Excel, or if the workbook was saved in Excel 2007 or earlier, the slicer can't be used.</a:t>
          </a:r>
        </a:p>
      </xdr:txBody>
    </xdr:sp>
    <xdr:clientData/>
  </xdr:twoCellAnchor>
  <xdr:twoCellAnchor>
    <xdr:from>
      <xdr:col>1</xdr:col>
      <xdr:colOff>152400</xdr:colOff>
      <xdr:row>34</xdr:row>
      <xdr:rowOff>147637</xdr:rowOff>
    </xdr:from>
    <xdr:to>
      <xdr:col>6</xdr:col>
      <xdr:colOff>28575</xdr:colOff>
      <xdr:row>51</xdr:row>
      <xdr:rowOff>138112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133350</xdr:colOff>
      <xdr:row>36</xdr:row>
      <xdr:rowOff>114300</xdr:rowOff>
    </xdr:from>
    <xdr:to>
      <xdr:col>11</xdr:col>
      <xdr:colOff>133350</xdr:colOff>
      <xdr:row>51</xdr:row>
      <xdr:rowOff>66675</xdr:rowOff>
    </xdr:to>
    <xdr:sp macro="" textlink="">
      <xdr:nvSpPr>
        <xdr:cNvPr id="4" name="Rectangle 3"/>
        <xdr:cNvSpPr>
          <a:spLocks noTextEdit="1"/>
        </xdr:cNvSpPr>
      </xdr:nvSpPr>
      <xdr:spPr>
        <a:xfrm>
          <a:off x="7439025" y="2057400"/>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later.If the shape was modified in an earlier version of Excel, or if the workbook was saved in Excel 2003 or earlier, the slicer cannot be used.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485775</xdr:colOff>
      <xdr:row>0</xdr:row>
      <xdr:rowOff>57150</xdr:rowOff>
    </xdr:from>
    <xdr:to>
      <xdr:col>9</xdr:col>
      <xdr:colOff>1076325</xdr:colOff>
      <xdr:row>7</xdr:row>
      <xdr:rowOff>152400</xdr:rowOff>
    </xdr:to>
    <xdr:sp macro="" textlink="">
      <xdr:nvSpPr>
        <xdr:cNvPr id="2" name="Rectangle 1"/>
        <xdr:cNvSpPr>
          <a:spLocks noTextEdit="1"/>
        </xdr:cNvSpPr>
      </xdr:nvSpPr>
      <xdr:spPr>
        <a:xfrm>
          <a:off x="8172450" y="57150"/>
          <a:ext cx="18288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later.If the shape was modified in an earlier version of Excel, or if the workbook was saved in Excel 2003 or earlier, the slicer cannot be used.</a:t>
          </a:r>
        </a:p>
      </xdr:txBody>
    </xdr:sp>
    <xdr:clientData/>
  </xdr:twoCellAnchor>
  <xdr:twoCellAnchor>
    <xdr:from>
      <xdr:col>0</xdr:col>
      <xdr:colOff>57150</xdr:colOff>
      <xdr:row>5</xdr:row>
      <xdr:rowOff>95250</xdr:rowOff>
    </xdr:from>
    <xdr:to>
      <xdr:col>4</xdr:col>
      <xdr:colOff>76200</xdr:colOff>
      <xdr:row>27</xdr:row>
      <xdr:rowOff>66676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5</xdr:row>
      <xdr:rowOff>104775</xdr:rowOff>
    </xdr:from>
    <xdr:to>
      <xdr:col>8</xdr:col>
      <xdr:colOff>276225</xdr:colOff>
      <xdr:row>27</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542925</xdr:colOff>
      <xdr:row>18</xdr:row>
      <xdr:rowOff>38101</xdr:rowOff>
    </xdr:from>
    <xdr:to>
      <xdr:col>9</xdr:col>
      <xdr:colOff>1133475</xdr:colOff>
      <xdr:row>27</xdr:row>
      <xdr:rowOff>28575</xdr:rowOff>
    </xdr:to>
    <xdr:sp macro="" textlink="">
      <xdr:nvSpPr>
        <xdr:cNvPr id="5" name="Rectangle 4"/>
        <xdr:cNvSpPr>
          <a:spLocks noTextEdit="1"/>
        </xdr:cNvSpPr>
      </xdr:nvSpPr>
      <xdr:spPr>
        <a:xfrm>
          <a:off x="8229600" y="2952751"/>
          <a:ext cx="1828800" cy="1447799"/>
        </a:xfrm>
        <a:prstGeom prst="rect">
          <a:avLst/>
        </a:prstGeom>
        <a:solidFill>
          <a:prstClr val="white"/>
        </a:solidFill>
        <a:ln w="1">
          <a:solidFill>
            <a:prstClr val="green"/>
          </a:solidFill>
        </a:ln>
      </xdr:spPr>
      <xdr:txBody>
        <a:bodyPr vertOverflow="clip" horzOverflow="clip"/>
        <a:lstStyle/>
        <a:p>
          <a:r>
            <a:rPr lang="en-US" sz="1100"/>
            <a:t>This shape represents a slicer. Shcchlicers are supported in Excel 2010 or later.If the shape was modified in an earlier version of Excel, or if the workbook was saved in Excel 2003 or earlier, the slicer cannot be used.</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hoaib Ul Hassan" refreshedDate="42748.602862615742" createdVersion="5" refreshedVersion="5" minRefreshableVersion="3" recordCount="12">
  <cacheSource type="worksheet">
    <worksheetSource name="Table1"/>
  </cacheSource>
  <cacheFields count="9">
    <cacheField name="Column1" numFmtId="166">
      <sharedItems count="12">
        <s v="January"/>
        <s v="February"/>
        <s v="March"/>
        <s v="April"/>
        <s v="May"/>
        <s v="June"/>
        <s v="July"/>
        <s v="August"/>
        <s v="September"/>
        <s v="October"/>
        <s v="November"/>
        <s v="December"/>
      </sharedItems>
    </cacheField>
    <cacheField name="Column2" numFmtId="166">
      <sharedItems containsNonDate="0" containsString="0" containsBlank="1" count="1">
        <m/>
      </sharedItems>
    </cacheField>
    <cacheField name="Column3" numFmtId="0">
      <sharedItems containsString="0" containsBlank="1" containsNumber="1" containsInteger="1" minValue="900" maxValue="900" count="2">
        <n v="900"/>
        <m/>
      </sharedItems>
    </cacheField>
    <cacheField name="Column4" numFmtId="0">
      <sharedItems containsString="0" containsBlank="1" containsNumber="1" containsInteger="1" minValue="220" maxValue="220" count="2">
        <n v="220"/>
        <m/>
      </sharedItems>
    </cacheField>
    <cacheField name="Column5" numFmtId="0">
      <sharedItems containsString="0" containsBlank="1" containsNumber="1" containsInteger="1" minValue="200" maxValue="200" count="2">
        <n v="200"/>
        <m/>
      </sharedItems>
    </cacheField>
    <cacheField name="Column6" numFmtId="0">
      <sharedItems containsString="0" containsBlank="1" containsNumber="1" containsInteger="1" minValue="200" maxValue="200" count="2">
        <n v="200"/>
        <m/>
      </sharedItems>
    </cacheField>
    <cacheField name="Column7" numFmtId="0">
      <sharedItems containsString="0" containsBlank="1" containsNumber="1" containsInteger="1" minValue="195" maxValue="195" count="2">
        <n v="195"/>
        <m/>
      </sharedItems>
    </cacheField>
    <cacheField name="Column8" numFmtId="0">
      <sharedItems containsString="0" containsBlank="1" containsNumber="1" containsInteger="1" minValue="140" maxValue="140" count="2">
        <n v="140"/>
        <m/>
      </sharedItems>
    </cacheField>
    <cacheField name="Column9" numFmtId="0">
      <sharedItems containsString="0" containsBlank="1" containsNumber="1" containsInteger="1" minValue="0" maxValue="0" count="2">
        <n v="0"/>
        <m/>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Shoaib Ul Hassan" refreshedDate="42753.620790624998" createdVersion="5" refreshedVersion="5" minRefreshableVersion="3" recordCount="25">
  <cacheSource type="worksheet">
    <worksheetSource name="Table3"/>
  </cacheSource>
  <cacheFields count="3">
    <cacheField name="Serial Number" numFmtId="0">
      <sharedItems containsBlank="1" containsMixedTypes="1" containsNumber="1" containsInteger="1" minValue="235896" maxValue="2389547" count="5">
        <n v="325467"/>
        <n v="235896"/>
        <n v="2389547"/>
        <s v="D-58961"/>
        <m/>
      </sharedItems>
    </cacheField>
    <cacheField name="Order Qty." numFmtId="0">
      <sharedItems containsMixedTypes="1" containsNumber="1" containsInteger="1" minValue="980" maxValue="1740" count="4">
        <n v="980"/>
        <n v="1740"/>
        <n v="1150"/>
        <s v=""/>
      </sharedItems>
    </cacheField>
    <cacheField name="Received Qty." numFmtId="0">
      <sharedItems containsMixedTypes="1" containsNumber="1" containsInteger="1" minValue="0" maxValue="900" count="4">
        <n v="800"/>
        <n v="900"/>
        <n v="0"/>
        <s v=""/>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x v="0"/>
    <x v="0"/>
    <x v="0"/>
  </r>
  <r>
    <x v="1"/>
    <x v="0"/>
    <x v="1"/>
    <x v="1"/>
    <x v="1"/>
    <x v="1"/>
    <x v="1"/>
    <x v="1"/>
    <x v="1"/>
  </r>
  <r>
    <x v="2"/>
    <x v="0"/>
    <x v="1"/>
    <x v="1"/>
    <x v="1"/>
    <x v="1"/>
    <x v="1"/>
    <x v="1"/>
    <x v="1"/>
  </r>
  <r>
    <x v="3"/>
    <x v="0"/>
    <x v="1"/>
    <x v="1"/>
    <x v="1"/>
    <x v="1"/>
    <x v="1"/>
    <x v="1"/>
    <x v="1"/>
  </r>
  <r>
    <x v="4"/>
    <x v="0"/>
    <x v="1"/>
    <x v="1"/>
    <x v="1"/>
    <x v="1"/>
    <x v="1"/>
    <x v="1"/>
    <x v="1"/>
  </r>
  <r>
    <x v="5"/>
    <x v="0"/>
    <x v="1"/>
    <x v="1"/>
    <x v="1"/>
    <x v="1"/>
    <x v="1"/>
    <x v="1"/>
    <x v="1"/>
  </r>
  <r>
    <x v="6"/>
    <x v="0"/>
    <x v="1"/>
    <x v="1"/>
    <x v="1"/>
    <x v="1"/>
    <x v="1"/>
    <x v="1"/>
    <x v="1"/>
  </r>
  <r>
    <x v="7"/>
    <x v="0"/>
    <x v="1"/>
    <x v="1"/>
    <x v="1"/>
    <x v="1"/>
    <x v="1"/>
    <x v="1"/>
    <x v="1"/>
  </r>
  <r>
    <x v="8"/>
    <x v="0"/>
    <x v="1"/>
    <x v="1"/>
    <x v="1"/>
    <x v="1"/>
    <x v="1"/>
    <x v="1"/>
    <x v="1"/>
  </r>
  <r>
    <x v="9"/>
    <x v="0"/>
    <x v="1"/>
    <x v="1"/>
    <x v="1"/>
    <x v="1"/>
    <x v="1"/>
    <x v="1"/>
    <x v="1"/>
  </r>
  <r>
    <x v="10"/>
    <x v="0"/>
    <x v="1"/>
    <x v="1"/>
    <x v="1"/>
    <x v="1"/>
    <x v="1"/>
    <x v="1"/>
    <x v="1"/>
  </r>
  <r>
    <x v="11"/>
    <x v="0"/>
    <x v="1"/>
    <x v="1"/>
    <x v="1"/>
    <x v="1"/>
    <x v="1"/>
    <x v="1"/>
    <x v="1"/>
  </r>
</pivotCacheRecords>
</file>

<file path=xl/pivotCache/pivotCacheRecords2.xml><?xml version="1.0" encoding="utf-8"?>
<pivotCacheRecords xmlns="http://schemas.openxmlformats.org/spreadsheetml/2006/main" xmlns:r="http://schemas.openxmlformats.org/officeDocument/2006/relationships" count="25">
  <r>
    <x v="0"/>
    <x v="0"/>
    <x v="0"/>
  </r>
  <r>
    <x v="0"/>
    <x v="0"/>
    <x v="0"/>
  </r>
  <r>
    <x v="1"/>
    <x v="1"/>
    <x v="1"/>
  </r>
  <r>
    <x v="2"/>
    <x v="2"/>
    <x v="2"/>
  </r>
  <r>
    <x v="0"/>
    <x v="0"/>
    <x v="0"/>
  </r>
  <r>
    <x v="1"/>
    <x v="1"/>
    <x v="1"/>
  </r>
  <r>
    <x v="3"/>
    <x v="3"/>
    <x v="2"/>
  </r>
  <r>
    <x v="4"/>
    <x v="3"/>
    <x v="3"/>
  </r>
  <r>
    <x v="4"/>
    <x v="3"/>
    <x v="3"/>
  </r>
  <r>
    <x v="4"/>
    <x v="3"/>
    <x v="3"/>
  </r>
  <r>
    <x v="4"/>
    <x v="3"/>
    <x v="3"/>
  </r>
  <r>
    <x v="4"/>
    <x v="3"/>
    <x v="3"/>
  </r>
  <r>
    <x v="4"/>
    <x v="3"/>
    <x v="3"/>
  </r>
  <r>
    <x v="4"/>
    <x v="3"/>
    <x v="3"/>
  </r>
  <r>
    <x v="4"/>
    <x v="3"/>
    <x v="3"/>
  </r>
  <r>
    <x v="4"/>
    <x v="3"/>
    <x v="3"/>
  </r>
  <r>
    <x v="4"/>
    <x v="3"/>
    <x v="3"/>
  </r>
  <r>
    <x v="4"/>
    <x v="3"/>
    <x v="3"/>
  </r>
  <r>
    <x v="4"/>
    <x v="3"/>
    <x v="3"/>
  </r>
  <r>
    <x v="4"/>
    <x v="3"/>
    <x v="3"/>
  </r>
  <r>
    <x v="4"/>
    <x v="3"/>
    <x v="3"/>
  </r>
  <r>
    <x v="4"/>
    <x v="3"/>
    <x v="3"/>
  </r>
  <r>
    <x v="4"/>
    <x v="3"/>
    <x v="3"/>
  </r>
  <r>
    <x v="4"/>
    <x v="3"/>
    <x v="3"/>
  </r>
  <r>
    <x v="4"/>
    <x v="3"/>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7">
  <location ref="E46:G52" firstHeaderRow="0" firstDataRow="1" firstDataCol="1"/>
  <pivotFields count="3">
    <pivotField axis="axisRow" showAll="0">
      <items count="6">
        <item x="1"/>
        <item x="0"/>
        <item x="2"/>
        <item x="3"/>
        <item x="4"/>
        <item t="default"/>
      </items>
    </pivotField>
    <pivotField dataField="1" showAll="0">
      <items count="5">
        <item x="0"/>
        <item x="2"/>
        <item x="1"/>
        <item x="3"/>
        <item t="default"/>
      </items>
    </pivotField>
    <pivotField dataField="1" showAll="0">
      <items count="5">
        <item x="2"/>
        <item x="0"/>
        <item x="1"/>
        <item x="3"/>
        <item t="default"/>
      </items>
    </pivotField>
  </pivotFields>
  <rowFields count="1">
    <field x="0"/>
  </rowFields>
  <rowItems count="6">
    <i>
      <x/>
    </i>
    <i>
      <x v="1"/>
    </i>
    <i>
      <x v="2"/>
    </i>
    <i>
      <x v="3"/>
    </i>
    <i>
      <x v="4"/>
    </i>
    <i t="grand">
      <x/>
    </i>
  </rowItems>
  <colFields count="1">
    <field x="-2"/>
  </colFields>
  <colItems count="2">
    <i>
      <x/>
    </i>
    <i i="1">
      <x v="1"/>
    </i>
  </colItems>
  <dataFields count="2">
    <dataField name="Sum of Order Qty." fld="1" baseField="0" baseItem="0"/>
    <dataField name="Sum of Received Qty." fld="2" baseField="0" baseItem="0"/>
  </dataField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6" format="4" series="1">
      <pivotArea type="data" outline="0" fieldPosition="0">
        <references count="1">
          <reference field="4294967294" count="1" selected="0">
            <x v="0"/>
          </reference>
        </references>
      </pivotArea>
    </chartFormat>
    <chartFormat chart="6"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3:G5" firstHeaderRow="0" firstDataRow="1" firstDataCol="1"/>
  <pivotFields count="9">
    <pivotField axis="axisRow" multipleItemSelectionAllowed="1" showAll="0" countASubtotal="1" avgSubtotal="1" maxSubtotal="1" minSubtotal="1" productSubtotal="1" countSubtotal="1">
      <items count="18">
        <item x="0"/>
        <item h="1" x="1"/>
        <item h="1" x="2"/>
        <item h="1" x="3"/>
        <item h="1" x="4"/>
        <item h="1" x="5"/>
        <item h="1" x="6"/>
        <item h="1" x="7"/>
        <item h="1" x="8"/>
        <item h="1" x="9"/>
        <item h="1" x="10"/>
        <item h="1" x="11"/>
        <item t="countA"/>
        <item t="product"/>
        <item t="avg"/>
        <item t="max"/>
        <item t="min"/>
        <item t="count"/>
      </items>
    </pivotField>
    <pivotField showAll="0">
      <items count="2">
        <item x="0"/>
        <item t="default"/>
      </items>
    </pivotField>
    <pivotField dataField="1" showAll="0">
      <items count="3">
        <item x="0"/>
        <item x="1"/>
        <item t="default"/>
      </items>
    </pivotField>
    <pivotField dataField="1" showAll="0">
      <items count="3">
        <item x="0"/>
        <item x="1"/>
        <item t="default"/>
      </items>
    </pivotField>
    <pivotField dataField="1" showAll="0">
      <items count="3">
        <item x="0"/>
        <item x="1"/>
        <item t="default"/>
      </items>
    </pivotField>
    <pivotField dataField="1" showAll="0">
      <items count="3">
        <item x="0"/>
        <item x="1"/>
        <item t="default"/>
      </items>
    </pivotField>
    <pivotField dataField="1" showAll="0">
      <items count="3">
        <item x="0"/>
        <item x="1"/>
        <item t="default"/>
      </items>
    </pivotField>
    <pivotField dataField="1" showAll="0">
      <items count="3">
        <item x="0"/>
        <item x="1"/>
        <item t="default"/>
      </items>
    </pivotField>
    <pivotField showAll="0">
      <items count="3">
        <item x="0"/>
        <item x="1"/>
        <item t="default"/>
      </items>
    </pivotField>
  </pivotFields>
  <rowFields count="1">
    <field x="0"/>
  </rowFields>
  <rowItems count="2">
    <i>
      <x/>
    </i>
    <i t="grand">
      <x/>
    </i>
  </rowItems>
  <colFields count="1">
    <field x="-2"/>
  </colFields>
  <colItems count="6">
    <i>
      <x/>
    </i>
    <i i="1">
      <x v="1"/>
    </i>
    <i i="2">
      <x v="2"/>
    </i>
    <i i="3">
      <x v="3"/>
    </i>
    <i i="4">
      <x v="4"/>
    </i>
    <i i="5">
      <x v="5"/>
    </i>
  </colItems>
  <dataFields count="6">
    <dataField name="Received From" fld="2" baseField="0" baseItem="0"/>
    <dataField name="Department 1" fld="3" baseField="0" baseItem="0"/>
    <dataField name="Department 2" fld="4" baseField="0" baseItem="0"/>
    <dataField name="Department 3" fld="5" baseField="0" baseItem="0"/>
    <dataField name="Department 4" fld="6" baseField="0" baseItem="0"/>
    <dataField name="Department 5" fld="7" baseField="0" baseItem="0"/>
  </dataField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rial_Number" sourceName="Serial Number">
  <extLst>
    <x:ext xmlns:x15="http://schemas.microsoft.com/office/spreadsheetml/2010/11/main" uri="{2F2917AC-EB37-4324-AD4E-5DD8C200BD13}">
      <x15:tableSlicerCache tableId="3" column="1"/>
    </x:ext>
  </extLst>
</slicerCacheDefinition>
</file>

<file path=xl/slicers/slicer2.xml><?xml version="1.0" encoding="utf-8"?>
<slicers xmlns="http://schemas.microsoft.com/office/spreadsheetml/2009/9/main" xmlns:mc="http://schemas.openxmlformats.org/markup-compatibility/2006" xmlns:x="http://schemas.openxmlformats.org/spreadsheetml/2006/main" mc:Ignorable="x">
  <slicer name="Serial Number" cache="Slicer_Serial_Number" caption="Serial Number" rowHeight="225425"/>
</slicers>
</file>

<file path=xl/tables/table1.xml><?xml version="1.0" encoding="utf-8"?>
<table xmlns="http://schemas.openxmlformats.org/spreadsheetml/2006/main" id="1" name="Table1" displayName="Table1" ref="B2:I14" totalsRowShown="0" headerRowDxfId="21" dataDxfId="19" headerRowBorderDxfId="20" tableBorderDxfId="18">
  <autoFilter ref="B2:I14"/>
  <tableColumns count="8">
    <tableColumn id="1" name="Month" dataDxfId="17"/>
    <tableColumn id="3" name="Received From" dataDxfId="16"/>
    <tableColumn id="4" name="Department 1" dataDxfId="15"/>
    <tableColumn id="5" name="Department 2" dataDxfId="14"/>
    <tableColumn id="6" name="Department 3" dataDxfId="13"/>
    <tableColumn id="7" name="Deparment 4" dataDxfId="12"/>
    <tableColumn id="8" name="Department 5" dataDxfId="11"/>
    <tableColumn id="9" name="Dispatch" dataDxfId="10"/>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C6:E31" totalsRowShown="0" headerRowDxfId="9" dataDxfId="8" tableBorderDxfId="7">
  <autoFilter ref="C6:E31">
    <filterColumn colId="0">
      <filters>
        <filter val="2389547"/>
      </filters>
    </filterColumn>
  </autoFilter>
  <tableColumns count="3">
    <tableColumn id="1" name="Serial Number" dataDxfId="6"/>
    <tableColumn id="2" name="Order Qty." dataDxfId="5">
      <calculatedColumnFormula>IFERROR(VLOOKUP(C7,Table2[],6,0),"")</calculatedColumnFormula>
    </tableColumn>
    <tableColumn id="3" name="Received Qty." dataDxfId="4">
      <calculatedColumnFormula>IFERROR(VLOOKUP(C7,'Daily Report'!$C$5:$M$19,10,0),"")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2" name="Table2" displayName="Table2" ref="B6:J31" totalsRowShown="0" headerRowDxfId="3" headerRowBorderDxfId="2" tableBorderDxfId="1">
  <autoFilter ref="B6:J31"/>
  <tableColumns count="9">
    <tableColumn id="1" name="Serial Number" dataDxfId="0"/>
    <tableColumn id="2" name="Customer"/>
    <tableColumn id="3" name="Order #"/>
    <tableColumn id="4" name="Article#"/>
    <tableColumn id="5" name="Color"/>
    <tableColumn id="6" name="Order Qty."/>
    <tableColumn id="7" name="Project Received Date"/>
    <tableColumn id="8" name="Project End Date"/>
    <tableColumn id="9" name="Status"/>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ivotTable" Target="../pivotTables/pivotTable1.xml"/><Relationship Id="rId5" Type="http://schemas.microsoft.com/office/2007/relationships/slicer" Target="../slicers/slicer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O28"/>
  <sheetViews>
    <sheetView showGridLines="0" workbookViewId="0">
      <selection activeCell="Q9" sqref="Q9"/>
    </sheetView>
  </sheetViews>
  <sheetFormatPr defaultRowHeight="12.75" x14ac:dyDescent="0.2"/>
  <cols>
    <col min="2" max="2" width="1.28515625" customWidth="1"/>
    <col min="15" max="15" width="1.140625" customWidth="1"/>
  </cols>
  <sheetData>
    <row r="2" spans="2:15" ht="4.5" customHeight="1" x14ac:dyDescent="0.2">
      <c r="B2" s="211"/>
      <c r="C2" s="211"/>
      <c r="D2" s="211"/>
      <c r="E2" s="211"/>
      <c r="F2" s="211"/>
      <c r="G2" s="211"/>
      <c r="H2" s="211"/>
      <c r="I2" s="211"/>
      <c r="J2" s="211"/>
      <c r="K2" s="211"/>
      <c r="L2" s="211"/>
      <c r="M2" s="211"/>
      <c r="N2" s="211"/>
      <c r="O2" s="211"/>
    </row>
    <row r="3" spans="2:15" x14ac:dyDescent="0.2">
      <c r="B3" s="211"/>
      <c r="C3" s="212"/>
      <c r="D3" s="212"/>
      <c r="E3" s="212"/>
      <c r="F3" s="212"/>
      <c r="G3" s="212"/>
      <c r="H3" s="212"/>
      <c r="I3" s="212"/>
      <c r="J3" s="212"/>
      <c r="K3" s="212"/>
      <c r="L3" s="212"/>
      <c r="M3" s="212"/>
      <c r="N3" s="212"/>
      <c r="O3" s="211"/>
    </row>
    <row r="4" spans="2:15" x14ac:dyDescent="0.2">
      <c r="B4" s="211"/>
      <c r="C4" s="212"/>
      <c r="D4" s="212"/>
      <c r="E4" s="212"/>
      <c r="F4" s="212"/>
      <c r="G4" s="212"/>
      <c r="H4" s="212"/>
      <c r="I4" s="212"/>
      <c r="J4" s="212"/>
      <c r="K4" s="212"/>
      <c r="L4" s="212"/>
      <c r="M4" s="212"/>
      <c r="N4" s="212"/>
      <c r="O4" s="211"/>
    </row>
    <row r="5" spans="2:15" x14ac:dyDescent="0.2">
      <c r="B5" s="211"/>
      <c r="C5" s="212"/>
      <c r="D5" s="212"/>
      <c r="E5" s="212"/>
      <c r="F5" s="212"/>
      <c r="G5" s="212"/>
      <c r="H5" s="212"/>
      <c r="I5" s="212"/>
      <c r="J5" s="212"/>
      <c r="K5" s="212"/>
      <c r="L5" s="212"/>
      <c r="M5" s="212"/>
      <c r="N5" s="212"/>
      <c r="O5" s="211"/>
    </row>
    <row r="6" spans="2:15" x14ac:dyDescent="0.2">
      <c r="B6" s="211"/>
      <c r="C6" s="212"/>
      <c r="D6" s="212"/>
      <c r="E6" s="212"/>
      <c r="F6" s="212"/>
      <c r="G6" s="212"/>
      <c r="H6" s="212"/>
      <c r="I6" s="212"/>
      <c r="J6" s="212"/>
      <c r="K6" s="212"/>
      <c r="L6" s="212"/>
      <c r="M6" s="212"/>
      <c r="N6" s="212"/>
      <c r="O6" s="211"/>
    </row>
    <row r="7" spans="2:15" x14ac:dyDescent="0.2">
      <c r="B7" s="211"/>
      <c r="C7" s="212"/>
      <c r="D7" s="212"/>
      <c r="E7" s="212"/>
      <c r="F7" s="212"/>
      <c r="G7" s="212"/>
      <c r="H7" s="212"/>
      <c r="I7" s="212"/>
      <c r="J7" s="212"/>
      <c r="K7" s="212"/>
      <c r="L7" s="212"/>
      <c r="M7" s="212"/>
      <c r="N7" s="212"/>
      <c r="O7" s="211"/>
    </row>
    <row r="8" spans="2:15" x14ac:dyDescent="0.2">
      <c r="B8" s="211"/>
      <c r="C8" s="212"/>
      <c r="D8" s="212"/>
      <c r="E8" s="212"/>
      <c r="F8" s="212"/>
      <c r="G8" s="212"/>
      <c r="H8" s="212"/>
      <c r="I8" s="212"/>
      <c r="J8" s="212"/>
      <c r="K8" s="212"/>
      <c r="L8" s="212"/>
      <c r="M8" s="212"/>
      <c r="N8" s="212"/>
      <c r="O8" s="211"/>
    </row>
    <row r="9" spans="2:15" x14ac:dyDescent="0.2">
      <c r="B9" s="211"/>
      <c r="C9" s="212"/>
      <c r="D9" s="212"/>
      <c r="E9" s="212"/>
      <c r="F9" s="212"/>
      <c r="G9" s="212"/>
      <c r="H9" s="212"/>
      <c r="I9" s="212"/>
      <c r="J9" s="212"/>
      <c r="K9" s="212"/>
      <c r="L9" s="212"/>
      <c r="M9" s="212"/>
      <c r="N9" s="212"/>
      <c r="O9" s="211"/>
    </row>
    <row r="10" spans="2:15" x14ac:dyDescent="0.2">
      <c r="B10" s="211"/>
      <c r="C10" s="212"/>
      <c r="D10" s="250" t="s">
        <v>86</v>
      </c>
      <c r="E10" s="250"/>
      <c r="F10" s="250"/>
      <c r="G10" s="212"/>
      <c r="H10" s="212"/>
      <c r="I10" s="212"/>
      <c r="J10" s="212"/>
      <c r="K10" s="212"/>
      <c r="L10" s="212"/>
      <c r="M10" s="212"/>
      <c r="N10" s="212"/>
      <c r="O10" s="211"/>
    </row>
    <row r="11" spans="2:15" x14ac:dyDescent="0.2">
      <c r="B11" s="211"/>
      <c r="C11" s="212"/>
      <c r="D11" s="250"/>
      <c r="E11" s="250"/>
      <c r="F11" s="250"/>
      <c r="G11" s="212"/>
      <c r="H11" s="212"/>
      <c r="I11" s="212"/>
      <c r="J11" s="212"/>
      <c r="K11" s="212"/>
      <c r="L11" s="212"/>
      <c r="M11" s="212"/>
      <c r="N11" s="212"/>
      <c r="O11" s="211"/>
    </row>
    <row r="12" spans="2:15" ht="15.75" x14ac:dyDescent="0.2">
      <c r="B12" s="211"/>
      <c r="C12" s="212"/>
      <c r="D12" s="213"/>
      <c r="E12" s="213"/>
      <c r="F12" s="213"/>
      <c r="G12" s="212"/>
      <c r="H12" s="212"/>
      <c r="I12" s="212"/>
      <c r="J12" s="212"/>
      <c r="K12" s="212"/>
      <c r="L12" s="212"/>
      <c r="M12" s="212"/>
      <c r="N12" s="212"/>
      <c r="O12" s="211"/>
    </row>
    <row r="13" spans="2:15" x14ac:dyDescent="0.2">
      <c r="B13" s="211"/>
      <c r="C13" s="212"/>
      <c r="D13" s="250" t="s">
        <v>87</v>
      </c>
      <c r="E13" s="250"/>
      <c r="F13" s="250"/>
      <c r="G13" s="212"/>
      <c r="H13" s="212"/>
      <c r="I13" s="212"/>
      <c r="J13" s="212"/>
      <c r="K13" s="212"/>
      <c r="L13" s="212"/>
      <c r="M13" s="212"/>
      <c r="N13" s="212"/>
      <c r="O13" s="211"/>
    </row>
    <row r="14" spans="2:15" x14ac:dyDescent="0.2">
      <c r="B14" s="211"/>
      <c r="C14" s="212"/>
      <c r="D14" s="250"/>
      <c r="E14" s="250"/>
      <c r="F14" s="250"/>
      <c r="G14" s="212"/>
      <c r="H14" s="212"/>
      <c r="I14" s="212"/>
      <c r="J14" s="212"/>
      <c r="K14" s="212"/>
      <c r="L14" s="212"/>
      <c r="M14" s="212"/>
      <c r="N14" s="212"/>
      <c r="O14" s="211"/>
    </row>
    <row r="15" spans="2:15" ht="15.75" x14ac:dyDescent="0.2">
      <c r="B15" s="211"/>
      <c r="C15" s="212"/>
      <c r="D15" s="213"/>
      <c r="E15" s="213"/>
      <c r="F15" s="214"/>
      <c r="G15" s="212"/>
      <c r="H15" s="212"/>
      <c r="I15" s="212"/>
      <c r="J15" s="212"/>
      <c r="K15" s="212"/>
      <c r="L15" s="212"/>
      <c r="M15" s="212"/>
      <c r="N15" s="212"/>
      <c r="O15" s="211"/>
    </row>
    <row r="16" spans="2:15" x14ac:dyDescent="0.2">
      <c r="B16" s="211"/>
      <c r="C16" s="212"/>
      <c r="D16" s="250" t="s">
        <v>91</v>
      </c>
      <c r="E16" s="250"/>
      <c r="F16" s="250"/>
      <c r="G16" s="212"/>
      <c r="H16" s="212"/>
      <c r="I16" s="212"/>
      <c r="J16" s="212"/>
      <c r="K16" s="212"/>
      <c r="L16" s="212"/>
      <c r="M16" s="212"/>
      <c r="N16" s="212"/>
      <c r="O16" s="211"/>
    </row>
    <row r="17" spans="2:15" x14ac:dyDescent="0.2">
      <c r="B17" s="211"/>
      <c r="C17" s="212"/>
      <c r="D17" s="250"/>
      <c r="E17" s="250"/>
      <c r="F17" s="250"/>
      <c r="G17" s="212"/>
      <c r="H17" s="212"/>
      <c r="I17" s="212"/>
      <c r="J17" s="212"/>
      <c r="K17" s="212"/>
      <c r="L17" s="212"/>
      <c r="M17" s="212"/>
      <c r="N17" s="212"/>
      <c r="O17" s="211"/>
    </row>
    <row r="18" spans="2:15" ht="15.75" x14ac:dyDescent="0.2">
      <c r="B18" s="211"/>
      <c r="C18" s="212"/>
      <c r="D18" s="213"/>
      <c r="E18" s="213"/>
      <c r="F18" s="213"/>
      <c r="G18" s="212"/>
      <c r="H18" s="212"/>
      <c r="I18" s="212"/>
      <c r="J18" s="212"/>
      <c r="K18" s="212"/>
      <c r="L18" s="212"/>
      <c r="M18" s="212"/>
      <c r="N18" s="212"/>
      <c r="O18" s="211"/>
    </row>
    <row r="19" spans="2:15" x14ac:dyDescent="0.2">
      <c r="B19" s="211"/>
      <c r="C19" s="212"/>
      <c r="D19" s="250" t="s">
        <v>92</v>
      </c>
      <c r="E19" s="250"/>
      <c r="F19" s="250"/>
      <c r="G19" s="212"/>
      <c r="H19" s="212"/>
      <c r="I19" s="212"/>
      <c r="J19" s="212"/>
      <c r="K19" s="212"/>
      <c r="L19" s="212"/>
      <c r="M19" s="212"/>
      <c r="N19" s="212"/>
      <c r="O19" s="211"/>
    </row>
    <row r="20" spans="2:15" x14ac:dyDescent="0.2">
      <c r="B20" s="211"/>
      <c r="C20" s="212"/>
      <c r="D20" s="250"/>
      <c r="E20" s="250"/>
      <c r="F20" s="250"/>
      <c r="G20" s="212"/>
      <c r="H20" s="212"/>
      <c r="I20" s="212"/>
      <c r="J20" s="212"/>
      <c r="K20" s="212"/>
      <c r="L20" s="212"/>
      <c r="M20" s="212"/>
      <c r="N20" s="212"/>
      <c r="O20" s="211"/>
    </row>
    <row r="21" spans="2:15" ht="15.75" x14ac:dyDescent="0.2">
      <c r="B21" s="211"/>
      <c r="C21" s="212"/>
      <c r="D21" s="213"/>
      <c r="E21" s="213"/>
      <c r="F21" s="213"/>
      <c r="G21" s="212"/>
      <c r="H21" s="212"/>
      <c r="I21" s="212"/>
      <c r="J21" s="212"/>
      <c r="K21" s="212"/>
      <c r="L21" s="212"/>
      <c r="M21" s="212"/>
      <c r="N21" s="212"/>
      <c r="O21" s="211"/>
    </row>
    <row r="22" spans="2:15" x14ac:dyDescent="0.2">
      <c r="B22" s="211"/>
      <c r="C22" s="212"/>
      <c r="D22" s="250" t="s">
        <v>90</v>
      </c>
      <c r="E22" s="250"/>
      <c r="F22" s="250"/>
      <c r="G22" s="212"/>
      <c r="H22" s="212"/>
      <c r="I22" s="212"/>
      <c r="J22" s="212"/>
      <c r="K22" s="212"/>
      <c r="L22" s="212"/>
      <c r="M22" s="212"/>
      <c r="N22" s="212"/>
      <c r="O22" s="211"/>
    </row>
    <row r="23" spans="2:15" x14ac:dyDescent="0.2">
      <c r="B23" s="211"/>
      <c r="C23" s="212"/>
      <c r="D23" s="250"/>
      <c r="E23" s="250"/>
      <c r="F23" s="250"/>
      <c r="G23" s="212"/>
      <c r="H23" s="212"/>
      <c r="I23" s="212"/>
      <c r="J23" s="212"/>
      <c r="K23" s="212"/>
      <c r="L23" s="212"/>
      <c r="M23" s="212"/>
      <c r="N23" s="212"/>
      <c r="O23" s="211"/>
    </row>
    <row r="24" spans="2:15" x14ac:dyDescent="0.2">
      <c r="B24" s="211"/>
      <c r="C24" s="212"/>
      <c r="D24" s="212"/>
      <c r="E24" s="212"/>
      <c r="F24" s="212"/>
      <c r="G24" s="212"/>
      <c r="H24" s="212"/>
      <c r="I24" s="212"/>
      <c r="J24" s="212"/>
      <c r="K24" s="212"/>
      <c r="L24" s="212"/>
      <c r="M24" s="212"/>
      <c r="N24" s="212"/>
      <c r="O24" s="211"/>
    </row>
    <row r="25" spans="2:15" x14ac:dyDescent="0.2">
      <c r="B25" s="211"/>
      <c r="C25" s="212"/>
      <c r="D25" s="212"/>
      <c r="E25" s="212"/>
      <c r="F25" s="212"/>
      <c r="G25" s="212"/>
      <c r="H25" s="212"/>
      <c r="I25" s="212"/>
      <c r="J25" s="212"/>
      <c r="K25" s="212"/>
      <c r="L25" s="212"/>
      <c r="M25" s="212"/>
      <c r="N25" s="212"/>
      <c r="O25" s="211"/>
    </row>
    <row r="26" spans="2:15" x14ac:dyDescent="0.2">
      <c r="B26" s="211"/>
      <c r="C26" s="212"/>
      <c r="D26" s="212"/>
      <c r="E26" s="212"/>
      <c r="F26" s="212"/>
      <c r="G26" s="212"/>
      <c r="H26" s="212"/>
      <c r="I26" s="212"/>
      <c r="J26" s="212"/>
      <c r="K26" s="212"/>
      <c r="L26" s="212"/>
      <c r="M26" s="212"/>
      <c r="N26" s="212"/>
      <c r="O26" s="211"/>
    </row>
    <row r="27" spans="2:15" x14ac:dyDescent="0.2">
      <c r="B27" s="211"/>
      <c r="C27" s="212"/>
      <c r="D27" s="212"/>
      <c r="E27" s="212"/>
      <c r="F27" s="212"/>
      <c r="G27" s="212"/>
      <c r="H27" s="212"/>
      <c r="I27" s="212"/>
      <c r="J27" s="212"/>
      <c r="K27" s="212"/>
      <c r="L27" s="212"/>
      <c r="M27" s="212"/>
      <c r="N27" s="212"/>
      <c r="O27" s="211"/>
    </row>
    <row r="28" spans="2:15" ht="5.25" customHeight="1" x14ac:dyDescent="0.2">
      <c r="B28" s="211"/>
      <c r="C28" s="211"/>
      <c r="D28" s="211"/>
      <c r="E28" s="211"/>
      <c r="F28" s="211"/>
      <c r="G28" s="211"/>
      <c r="H28" s="211"/>
      <c r="I28" s="211"/>
      <c r="J28" s="211"/>
      <c r="K28" s="211"/>
      <c r="L28" s="211"/>
      <c r="M28" s="211"/>
      <c r="N28" s="211"/>
      <c r="O28" s="211"/>
    </row>
  </sheetData>
  <mergeCells count="5">
    <mergeCell ref="D10:F11"/>
    <mergeCell ref="D13:F14"/>
    <mergeCell ref="D16:F17"/>
    <mergeCell ref="D19:F20"/>
    <mergeCell ref="D22:F23"/>
  </mergeCells>
  <hyperlinks>
    <hyperlink ref="D10:F11" location="'Customer Data Base'!A1" display="Customer Data Base"/>
    <hyperlink ref="D13:F14" location="'Daily Report'!A1" display="Daily Report"/>
    <hyperlink ref="D16:F17" location="'Date wise Pro. Status'!A1" display="Date Wise Pro. Status"/>
    <hyperlink ref="D19:F20" location="'Month wise Pro. Status'!A1" display="Month Wise Pro. Status"/>
    <hyperlink ref="D22:F23" location="'Dash Board'!A1" display="Dash Boar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9"/>
  <sheetViews>
    <sheetView showGridLines="0" zoomScale="90" zoomScaleNormal="90" workbookViewId="0">
      <selection activeCell="D14" sqref="D14"/>
    </sheetView>
  </sheetViews>
  <sheetFormatPr defaultRowHeight="12.75" x14ac:dyDescent="0.2"/>
  <cols>
    <col min="1" max="1" width="6.140625" customWidth="1"/>
    <col min="2" max="2" width="24.42578125" customWidth="1"/>
    <col min="3" max="3" width="20" customWidth="1"/>
    <col min="4" max="4" width="21.42578125" customWidth="1"/>
    <col min="5" max="5" width="20.7109375" customWidth="1"/>
    <col min="6" max="6" width="17.140625" customWidth="1"/>
    <col min="7" max="7" width="21.140625" customWidth="1"/>
    <col min="8" max="8" width="18.28515625" customWidth="1"/>
    <col min="9" max="9" width="18" customWidth="1"/>
    <col min="10" max="10" width="21.85546875" customWidth="1"/>
  </cols>
  <sheetData>
    <row r="1" spans="1:10" ht="12.75" customHeight="1" x14ac:dyDescent="0.2">
      <c r="A1" s="254" t="s">
        <v>48</v>
      </c>
      <c r="B1" s="254"/>
      <c r="C1" s="254"/>
      <c r="D1" s="254"/>
      <c r="E1" s="254"/>
      <c r="F1" s="254"/>
      <c r="G1" s="254"/>
      <c r="H1" s="254"/>
      <c r="I1" s="254"/>
      <c r="J1" s="254"/>
    </row>
    <row r="2" spans="1:10" ht="12.75" customHeight="1" x14ac:dyDescent="0.2">
      <c r="A2" s="254"/>
      <c r="B2" s="254"/>
      <c r="C2" s="254"/>
      <c r="D2" s="254"/>
      <c r="E2" s="254"/>
      <c r="F2" s="254"/>
      <c r="G2" s="254"/>
      <c r="H2" s="254"/>
      <c r="I2" s="254"/>
      <c r="J2" s="254"/>
    </row>
    <row r="3" spans="1:10" x14ac:dyDescent="0.2">
      <c r="B3" s="210" t="s">
        <v>87</v>
      </c>
      <c r="C3" s="253" t="s">
        <v>88</v>
      </c>
      <c r="D3" s="253"/>
      <c r="E3" s="253" t="s">
        <v>89</v>
      </c>
      <c r="F3" s="253"/>
      <c r="G3" s="253" t="s">
        <v>90</v>
      </c>
      <c r="H3" s="253"/>
      <c r="J3" s="210" t="s">
        <v>110</v>
      </c>
    </row>
    <row r="4" spans="1:10" x14ac:dyDescent="0.2">
      <c r="I4" s="251" t="s">
        <v>104</v>
      </c>
    </row>
    <row r="5" spans="1:10" ht="13.5" thickBot="1" x14ac:dyDescent="0.25">
      <c r="A5" s="110">
        <v>1</v>
      </c>
      <c r="B5" s="110">
        <v>2</v>
      </c>
      <c r="C5" s="110">
        <v>3</v>
      </c>
      <c r="D5" s="110">
        <v>4</v>
      </c>
      <c r="E5" s="110">
        <v>5</v>
      </c>
      <c r="F5" s="110">
        <v>6</v>
      </c>
      <c r="G5" s="110">
        <v>7</v>
      </c>
      <c r="H5" s="110">
        <v>8</v>
      </c>
      <c r="I5" s="252"/>
      <c r="J5" s="110">
        <v>9</v>
      </c>
    </row>
    <row r="6" spans="1:10" ht="39.75" customHeight="1" thickBot="1" x14ac:dyDescent="0.25">
      <c r="A6" s="224" t="s">
        <v>49</v>
      </c>
      <c r="B6" s="227" t="s">
        <v>78</v>
      </c>
      <c r="C6" s="225" t="s">
        <v>50</v>
      </c>
      <c r="D6" s="225" t="s">
        <v>51</v>
      </c>
      <c r="E6" s="225" t="s">
        <v>52</v>
      </c>
      <c r="F6" s="225" t="s">
        <v>15</v>
      </c>
      <c r="G6" s="225" t="s">
        <v>53</v>
      </c>
      <c r="H6" s="225" t="s">
        <v>79</v>
      </c>
      <c r="I6" s="227" t="s">
        <v>94</v>
      </c>
      <c r="J6" s="226" t="s">
        <v>93</v>
      </c>
    </row>
    <row r="7" spans="1:10" x14ac:dyDescent="0.2">
      <c r="A7" s="220">
        <v>1</v>
      </c>
      <c r="B7" s="219">
        <v>325467</v>
      </c>
      <c r="C7" s="221" t="s">
        <v>54</v>
      </c>
      <c r="D7" s="219">
        <v>238964</v>
      </c>
      <c r="E7" s="222" t="s">
        <v>55</v>
      </c>
      <c r="F7" s="221" t="s">
        <v>56</v>
      </c>
      <c r="G7" s="221">
        <v>980</v>
      </c>
      <c r="H7" s="219">
        <v>1000</v>
      </c>
      <c r="I7" s="239">
        <f>IFERROR(VLOOKUP(B7,'Daily Report'!$C$5:$J$19,8,0),"")</f>
        <v>42736</v>
      </c>
      <c r="J7" s="223"/>
    </row>
    <row r="8" spans="1:10" x14ac:dyDescent="0.2">
      <c r="A8" s="111">
        <f>+A7+1</f>
        <v>2</v>
      </c>
      <c r="B8" s="112">
        <v>2389547</v>
      </c>
      <c r="C8" s="113" t="s">
        <v>57</v>
      </c>
      <c r="D8" s="112">
        <v>586952</v>
      </c>
      <c r="E8" s="113" t="s">
        <v>58</v>
      </c>
      <c r="F8" s="113" t="s">
        <v>59</v>
      </c>
      <c r="G8" s="113">
        <v>1150</v>
      </c>
      <c r="H8" s="112">
        <v>1200</v>
      </c>
      <c r="I8" s="239">
        <f>IFERROR(VLOOKUP(B8,'Daily Report'!$C$5:$J$19,8,0),"")</f>
        <v>42736</v>
      </c>
      <c r="J8" s="217"/>
    </row>
    <row r="9" spans="1:10" x14ac:dyDescent="0.2">
      <c r="A9" s="111">
        <f t="shared" ref="A9:A29" si="0">+A8+1</f>
        <v>3</v>
      </c>
      <c r="B9" s="112">
        <v>235896</v>
      </c>
      <c r="C9" s="113" t="s">
        <v>60</v>
      </c>
      <c r="D9" s="112">
        <v>5689444</v>
      </c>
      <c r="E9" s="113" t="s">
        <v>61</v>
      </c>
      <c r="F9" s="113" t="s">
        <v>62</v>
      </c>
      <c r="G9" s="113">
        <v>1740</v>
      </c>
      <c r="H9" s="112">
        <v>1800</v>
      </c>
      <c r="I9" s="239">
        <f>IFERROR(VLOOKUP(B9,'Daily Report'!$C$5:$J$19,8,0),"")</f>
        <v>42736</v>
      </c>
      <c r="J9" s="217"/>
    </row>
    <row r="10" spans="1:10" x14ac:dyDescent="0.2">
      <c r="A10" s="111">
        <f t="shared" si="0"/>
        <v>4</v>
      </c>
      <c r="B10" s="113" t="s">
        <v>63</v>
      </c>
      <c r="C10" s="113" t="s">
        <v>64</v>
      </c>
      <c r="D10" s="112">
        <v>568963</v>
      </c>
      <c r="E10" s="113" t="s">
        <v>65</v>
      </c>
      <c r="F10" s="113" t="s">
        <v>59</v>
      </c>
      <c r="G10" s="113">
        <v>2150</v>
      </c>
      <c r="H10" s="112">
        <v>2200</v>
      </c>
      <c r="I10" s="239">
        <f>IFERROR(VLOOKUP(B10,'Daily Report'!$C$5:$J$19,8,0),"")</f>
        <v>42736</v>
      </c>
      <c r="J10" s="217"/>
    </row>
    <row r="11" spans="1:10" x14ac:dyDescent="0.2">
      <c r="A11" s="111">
        <f t="shared" si="0"/>
        <v>5</v>
      </c>
      <c r="B11" s="112">
        <v>12345678</v>
      </c>
      <c r="C11" s="113" t="s">
        <v>107</v>
      </c>
      <c r="D11" s="112">
        <v>265893</v>
      </c>
      <c r="E11" s="113" t="s">
        <v>108</v>
      </c>
      <c r="F11" s="112"/>
      <c r="G11" s="113">
        <v>1200</v>
      </c>
      <c r="H11" s="112">
        <v>1300</v>
      </c>
      <c r="I11" s="239">
        <f>IFERROR(VLOOKUP(B11,'Daily Report'!$C$5:$J$19,8,0),"")</f>
        <v>0</v>
      </c>
      <c r="J11" s="217"/>
    </row>
    <row r="12" spans="1:10" x14ac:dyDescent="0.2">
      <c r="A12" s="111">
        <f t="shared" si="0"/>
        <v>6</v>
      </c>
      <c r="B12" s="112"/>
      <c r="C12" s="112"/>
      <c r="D12" s="112"/>
      <c r="E12" s="112"/>
      <c r="F12" s="112"/>
      <c r="G12" s="112"/>
      <c r="H12" s="112"/>
      <c r="I12" s="239" t="str">
        <f>IFERROR(VLOOKUP(B12,'Daily Report'!$C$5:$J$19,8,0),"")</f>
        <v/>
      </c>
      <c r="J12" s="217"/>
    </row>
    <row r="13" spans="1:10" x14ac:dyDescent="0.2">
      <c r="A13" s="111">
        <f t="shared" si="0"/>
        <v>7</v>
      </c>
      <c r="B13" s="112"/>
      <c r="C13" s="112"/>
      <c r="D13" s="112"/>
      <c r="E13" s="112"/>
      <c r="F13" s="112"/>
      <c r="G13" s="112"/>
      <c r="H13" s="112"/>
      <c r="I13" s="239" t="str">
        <f>IFERROR(VLOOKUP(B13,'Daily Report'!$C$5:$J$19,8,0),"")</f>
        <v/>
      </c>
      <c r="J13" s="217"/>
    </row>
    <row r="14" spans="1:10" x14ac:dyDescent="0.2">
      <c r="A14" s="111">
        <f t="shared" si="0"/>
        <v>8</v>
      </c>
      <c r="B14" s="112"/>
      <c r="C14" s="112"/>
      <c r="D14" s="112"/>
      <c r="E14" s="112"/>
      <c r="F14" s="112"/>
      <c r="G14" s="112"/>
      <c r="H14" s="112"/>
      <c r="I14" s="239" t="str">
        <f>IFERROR(VLOOKUP(B14,'Daily Report'!$C$5:$J$19,8,0),"")</f>
        <v/>
      </c>
      <c r="J14" s="217"/>
    </row>
    <row r="15" spans="1:10" x14ac:dyDescent="0.2">
      <c r="A15" s="111">
        <f t="shared" si="0"/>
        <v>9</v>
      </c>
      <c r="B15" s="112"/>
      <c r="C15" s="112"/>
      <c r="D15" s="112"/>
      <c r="E15" s="112"/>
      <c r="F15" s="112"/>
      <c r="G15" s="112"/>
      <c r="H15" s="112"/>
      <c r="I15" s="239" t="str">
        <f>IFERROR(VLOOKUP(B15,'Daily Report'!$C$5:$J$19,8,0),"")</f>
        <v/>
      </c>
      <c r="J15" s="217"/>
    </row>
    <row r="16" spans="1:10" x14ac:dyDescent="0.2">
      <c r="A16" s="111">
        <f t="shared" si="0"/>
        <v>10</v>
      </c>
      <c r="B16" s="112"/>
      <c r="C16" s="112"/>
      <c r="D16" s="112"/>
      <c r="E16" s="112"/>
      <c r="F16" s="112"/>
      <c r="G16" s="112"/>
      <c r="H16" s="112"/>
      <c r="I16" s="239" t="str">
        <f>IFERROR(VLOOKUP(B16,'Daily Report'!$C$5:$J$19,8,0),"")</f>
        <v/>
      </c>
      <c r="J16" s="217"/>
    </row>
    <row r="17" spans="1:10" x14ac:dyDescent="0.2">
      <c r="A17" s="111">
        <f t="shared" si="0"/>
        <v>11</v>
      </c>
      <c r="B17" s="112"/>
      <c r="C17" s="112"/>
      <c r="D17" s="112"/>
      <c r="E17" s="112"/>
      <c r="F17" s="112"/>
      <c r="G17" s="112"/>
      <c r="H17" s="112"/>
      <c r="I17" s="239" t="str">
        <f>IFERROR(VLOOKUP(B17,'Daily Report'!$C$5:$J$19,8,0),"")</f>
        <v/>
      </c>
      <c r="J17" s="217"/>
    </row>
    <row r="18" spans="1:10" x14ac:dyDescent="0.2">
      <c r="A18" s="111">
        <f t="shared" si="0"/>
        <v>12</v>
      </c>
      <c r="B18" s="114"/>
      <c r="C18" s="114"/>
      <c r="D18" s="114"/>
      <c r="E18" s="114"/>
      <c r="F18" s="114"/>
      <c r="G18" s="114"/>
      <c r="H18" s="112"/>
      <c r="I18" s="239" t="str">
        <f>IFERROR(VLOOKUP(B18,'Daily Report'!$C$5:$J$19,8,0),"")</f>
        <v/>
      </c>
      <c r="J18" s="217"/>
    </row>
    <row r="19" spans="1:10" ht="15.75" x14ac:dyDescent="0.2">
      <c r="A19" s="111">
        <f t="shared" si="0"/>
        <v>13</v>
      </c>
      <c r="B19" s="115"/>
      <c r="C19" s="115"/>
      <c r="D19" s="115"/>
      <c r="E19" s="115"/>
      <c r="F19" s="115"/>
      <c r="G19" s="115"/>
      <c r="H19" s="112"/>
      <c r="I19" s="239" t="str">
        <f>IFERROR(VLOOKUP(B19,'Daily Report'!$C$5:$J$19,8,0),"")</f>
        <v/>
      </c>
      <c r="J19" s="217"/>
    </row>
    <row r="20" spans="1:10" x14ac:dyDescent="0.2">
      <c r="A20" s="111">
        <f t="shared" si="0"/>
        <v>14</v>
      </c>
      <c r="B20" s="114"/>
      <c r="C20" s="114"/>
      <c r="D20" s="114"/>
      <c r="E20" s="114"/>
      <c r="F20" s="114"/>
      <c r="G20" s="114"/>
      <c r="H20" s="112"/>
      <c r="I20" s="239" t="str">
        <f>IFERROR(VLOOKUP(B20,'Daily Report'!$C$5:$J$19,8,0),"")</f>
        <v/>
      </c>
      <c r="J20" s="217"/>
    </row>
    <row r="21" spans="1:10" x14ac:dyDescent="0.2">
      <c r="A21" s="111">
        <f t="shared" si="0"/>
        <v>15</v>
      </c>
      <c r="B21" s="114"/>
      <c r="C21" s="114"/>
      <c r="D21" s="114"/>
      <c r="E21" s="114"/>
      <c r="F21" s="114"/>
      <c r="G21" s="114"/>
      <c r="H21" s="112"/>
      <c r="I21" s="239" t="str">
        <f>IFERROR(VLOOKUP(B21,'Daily Report'!$C$5:$J$19,8,0),"")</f>
        <v/>
      </c>
      <c r="J21" s="217"/>
    </row>
    <row r="22" spans="1:10" x14ac:dyDescent="0.2">
      <c r="A22" s="111">
        <f t="shared" si="0"/>
        <v>16</v>
      </c>
      <c r="B22" s="112"/>
      <c r="C22" s="112"/>
      <c r="D22" s="112"/>
      <c r="E22" s="112"/>
      <c r="F22" s="112"/>
      <c r="G22" s="112"/>
      <c r="H22" s="112"/>
      <c r="I22" s="239" t="str">
        <f>IFERROR(VLOOKUP(B22,'Daily Report'!$C$5:$J$19,8,0),"")</f>
        <v/>
      </c>
      <c r="J22" s="217"/>
    </row>
    <row r="23" spans="1:10" x14ac:dyDescent="0.2">
      <c r="A23" s="111">
        <f t="shared" si="0"/>
        <v>17</v>
      </c>
      <c r="B23" s="112"/>
      <c r="C23" s="112"/>
      <c r="D23" s="112"/>
      <c r="E23" s="112"/>
      <c r="F23" s="112"/>
      <c r="G23" s="112"/>
      <c r="H23" s="112"/>
      <c r="I23" s="239" t="str">
        <f>IFERROR(VLOOKUP(B23,'Daily Report'!$C$5:$J$19,8,0),"")</f>
        <v/>
      </c>
      <c r="J23" s="217"/>
    </row>
    <row r="24" spans="1:10" x14ac:dyDescent="0.2">
      <c r="A24" s="111">
        <f t="shared" si="0"/>
        <v>18</v>
      </c>
      <c r="B24" s="112"/>
      <c r="C24" s="112"/>
      <c r="D24" s="112"/>
      <c r="E24" s="112"/>
      <c r="F24" s="112"/>
      <c r="G24" s="112"/>
      <c r="H24" s="112"/>
      <c r="I24" s="239" t="str">
        <f>IFERROR(VLOOKUP(B24,'Daily Report'!$C$5:$J$19,8,0),"")</f>
        <v/>
      </c>
      <c r="J24" s="217"/>
    </row>
    <row r="25" spans="1:10" x14ac:dyDescent="0.2">
      <c r="A25" s="111">
        <f t="shared" si="0"/>
        <v>19</v>
      </c>
      <c r="B25" s="112"/>
      <c r="C25" s="112"/>
      <c r="D25" s="112"/>
      <c r="E25" s="112"/>
      <c r="F25" s="112"/>
      <c r="G25" s="112"/>
      <c r="H25" s="112"/>
      <c r="I25" s="239" t="str">
        <f>IFERROR(VLOOKUP(B25,'Daily Report'!$C$5:$J$19,8,0),"")</f>
        <v/>
      </c>
      <c r="J25" s="217"/>
    </row>
    <row r="26" spans="1:10" x14ac:dyDescent="0.2">
      <c r="A26" s="111">
        <f t="shared" si="0"/>
        <v>20</v>
      </c>
      <c r="B26" s="112"/>
      <c r="C26" s="112"/>
      <c r="D26" s="112"/>
      <c r="E26" s="112"/>
      <c r="F26" s="112"/>
      <c r="G26" s="112"/>
      <c r="H26" s="112"/>
      <c r="I26" s="239" t="str">
        <f>IFERROR(VLOOKUP(B26,'Daily Report'!$C$5:$J$19,8,0),"")</f>
        <v/>
      </c>
      <c r="J26" s="217"/>
    </row>
    <row r="27" spans="1:10" x14ac:dyDescent="0.2">
      <c r="A27" s="111">
        <f t="shared" si="0"/>
        <v>21</v>
      </c>
      <c r="B27" s="112"/>
      <c r="C27" s="112"/>
      <c r="D27" s="112"/>
      <c r="E27" s="112"/>
      <c r="F27" s="112"/>
      <c r="G27" s="112"/>
      <c r="H27" s="112"/>
      <c r="I27" s="239" t="str">
        <f>IFERROR(VLOOKUP(B27,'Daily Report'!$C$5:$J$19,8,0),"")</f>
        <v/>
      </c>
      <c r="J27" s="217"/>
    </row>
    <row r="28" spans="1:10" x14ac:dyDescent="0.2">
      <c r="A28" s="111">
        <f t="shared" si="0"/>
        <v>22</v>
      </c>
      <c r="B28" s="112"/>
      <c r="C28" s="112"/>
      <c r="D28" s="112"/>
      <c r="E28" s="112"/>
      <c r="F28" s="112"/>
      <c r="G28" s="112"/>
      <c r="H28" s="112"/>
      <c r="I28" s="239" t="str">
        <f>IFERROR(VLOOKUP(B28,'Daily Report'!$C$5:$J$19,8,0),"")</f>
        <v/>
      </c>
      <c r="J28" s="217"/>
    </row>
    <row r="29" spans="1:10" ht="13.5" thickBot="1" x14ac:dyDescent="0.25">
      <c r="A29" s="116">
        <f t="shared" si="0"/>
        <v>23</v>
      </c>
      <c r="B29" s="117"/>
      <c r="C29" s="117"/>
      <c r="D29" s="117"/>
      <c r="E29" s="117"/>
      <c r="F29" s="117"/>
      <c r="G29" s="117"/>
      <c r="H29" s="117"/>
      <c r="I29" s="240" t="str">
        <f>IFERROR(VLOOKUP(B29,'Daily Report'!$C$5:$J$19,8,0),"")</f>
        <v/>
      </c>
      <c r="J29" s="218"/>
    </row>
  </sheetData>
  <mergeCells count="5">
    <mergeCell ref="I4:I5"/>
    <mergeCell ref="C3:D3"/>
    <mergeCell ref="E3:F3"/>
    <mergeCell ref="G3:H3"/>
    <mergeCell ref="A1:J2"/>
  </mergeCells>
  <hyperlinks>
    <hyperlink ref="B3" location="'Daily Report'!A1" display="Daily Report"/>
    <hyperlink ref="C3:D3" location="'Date wise Pro. Status'!A1" display="Date wise Pro. Status"/>
    <hyperlink ref="E3:F3" location="'Month wise Pro. Status'!A1" display="Month wise Pro. Status"/>
    <hyperlink ref="G3:H3" location="'Dash Board'!A1" display="Dash Board"/>
    <hyperlink ref="J3" location="'Project Status'!A1" display="Project Statu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4"/>
    <pageSetUpPr fitToPage="1"/>
  </sheetPr>
  <dimension ref="A1:FJ24"/>
  <sheetViews>
    <sheetView showGridLines="0" view="pageBreakPreview" zoomScale="70" zoomScaleNormal="80" zoomScaleSheetLayoutView="70" workbookViewId="0">
      <pane xSplit="8" ySplit="3" topLeftCell="I5" activePane="bottomRight" state="frozen"/>
      <selection pane="topRight" activeCell="I1" sqref="I1"/>
      <selection pane="bottomLeft" activeCell="A4" sqref="A4"/>
      <selection pane="bottomRight" activeCell="C10" sqref="C10"/>
    </sheetView>
  </sheetViews>
  <sheetFormatPr defaultRowHeight="12.75" x14ac:dyDescent="0.2"/>
  <cols>
    <col min="1" max="1" width="4.7109375" customWidth="1"/>
    <col min="2" max="2" width="7.7109375" hidden="1" customWidth="1"/>
    <col min="3" max="3" width="12.28515625" bestFit="1" customWidth="1"/>
    <col min="4" max="4" width="17.7109375" customWidth="1"/>
    <col min="5" max="5" width="18" customWidth="1"/>
    <col min="6" max="6" width="13.140625" customWidth="1"/>
    <col min="7" max="7" width="9.28515625" customWidth="1"/>
    <col min="8" max="8" width="8.7109375" customWidth="1"/>
    <col min="9" max="9" width="6.28515625" customWidth="1"/>
    <col min="10" max="10" width="8.5703125" bestFit="1" customWidth="1"/>
    <col min="11" max="38" width="8.7109375" customWidth="1"/>
    <col min="39" max="39" width="16.42578125" customWidth="1"/>
    <col min="42" max="42" width="0" hidden="1" customWidth="1"/>
  </cols>
  <sheetData>
    <row r="1" spans="1:49" ht="36" x14ac:dyDescent="0.2">
      <c r="A1" s="262" t="s">
        <v>66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37"/>
      <c r="AN1" s="37"/>
      <c r="AO1" s="37"/>
      <c r="AP1" s="37"/>
      <c r="AQ1" s="37"/>
      <c r="AR1" s="37"/>
      <c r="AS1" s="37"/>
      <c r="AT1" s="37"/>
      <c r="AU1" s="37"/>
      <c r="AV1" s="37"/>
      <c r="AW1" s="37"/>
    </row>
    <row r="2" spans="1:49" ht="27" customHeight="1" thickBot="1" x14ac:dyDescent="0.35">
      <c r="A2" s="8"/>
      <c r="B2" s="8"/>
      <c r="C2" s="47"/>
      <c r="D2" s="47"/>
      <c r="E2" s="46"/>
      <c r="F2" s="47"/>
      <c r="G2" s="68"/>
      <c r="H2" s="264"/>
      <c r="I2" s="264"/>
      <c r="J2" s="1"/>
      <c r="K2" s="1"/>
      <c r="L2" s="1"/>
      <c r="M2" s="1"/>
      <c r="N2" s="1"/>
      <c r="O2" s="1"/>
      <c r="P2" s="1"/>
      <c r="Q2" s="1"/>
      <c r="R2" s="1"/>
      <c r="S2" s="1"/>
      <c r="T2" s="1"/>
      <c r="U2" s="1"/>
      <c r="V2" s="1"/>
      <c r="W2" s="1"/>
      <c r="X2" s="1"/>
      <c r="Y2" s="1"/>
      <c r="Z2" s="1"/>
      <c r="AA2" s="1"/>
      <c r="AB2" s="1"/>
      <c r="AC2" s="1"/>
      <c r="AD2" s="16"/>
      <c r="AG2" s="119" t="s">
        <v>1</v>
      </c>
      <c r="AH2" s="261">
        <f ca="1">NOW()</f>
        <v>44173.890972337962</v>
      </c>
      <c r="AI2" s="261"/>
      <c r="AJ2" s="261"/>
      <c r="AK2" s="261"/>
      <c r="AL2" s="68"/>
    </row>
    <row r="3" spans="1:49" s="67" customFormat="1" ht="39.950000000000003" customHeight="1" thickBot="1" x14ac:dyDescent="0.45">
      <c r="A3" s="277" t="s">
        <v>23</v>
      </c>
      <c r="B3" s="278"/>
      <c r="C3" s="278"/>
      <c r="D3" s="278"/>
      <c r="E3" s="278"/>
      <c r="F3" s="278"/>
      <c r="G3" s="278"/>
      <c r="H3" s="279"/>
      <c r="I3" s="274" t="s">
        <v>67</v>
      </c>
      <c r="J3" s="275"/>
      <c r="K3" s="275"/>
      <c r="L3" s="275"/>
      <c r="M3" s="276"/>
      <c r="N3" s="271" t="s">
        <v>68</v>
      </c>
      <c r="O3" s="272"/>
      <c r="P3" s="272"/>
      <c r="Q3" s="272"/>
      <c r="R3" s="273"/>
      <c r="S3" s="271" t="s">
        <v>69</v>
      </c>
      <c r="T3" s="272"/>
      <c r="U3" s="272"/>
      <c r="V3" s="272"/>
      <c r="W3" s="273"/>
      <c r="X3" s="271" t="s">
        <v>70</v>
      </c>
      <c r="Y3" s="272"/>
      <c r="Z3" s="272"/>
      <c r="AA3" s="272"/>
      <c r="AB3" s="273"/>
      <c r="AC3" s="271" t="s">
        <v>71</v>
      </c>
      <c r="AD3" s="272"/>
      <c r="AE3" s="272"/>
      <c r="AF3" s="272"/>
      <c r="AG3" s="273"/>
      <c r="AH3" s="271" t="s">
        <v>74</v>
      </c>
      <c r="AI3" s="272"/>
      <c r="AJ3" s="272"/>
      <c r="AK3" s="272"/>
      <c r="AL3" s="273"/>
      <c r="AM3" s="228"/>
    </row>
    <row r="4" spans="1:49" s="14" customFormat="1" ht="60" customHeight="1" thickBot="1" x14ac:dyDescent="0.25">
      <c r="A4" s="77" t="s">
        <v>42</v>
      </c>
      <c r="B4" s="78" t="s">
        <v>46</v>
      </c>
      <c r="C4" s="79" t="s">
        <v>78</v>
      </c>
      <c r="D4" s="78" t="s">
        <v>50</v>
      </c>
      <c r="E4" s="78" t="s">
        <v>77</v>
      </c>
      <c r="F4" s="78" t="s">
        <v>16</v>
      </c>
      <c r="G4" s="78" t="s">
        <v>15</v>
      </c>
      <c r="H4" s="80" t="s">
        <v>14</v>
      </c>
      <c r="I4" s="84" t="s">
        <v>21</v>
      </c>
      <c r="J4" s="84" t="s">
        <v>12</v>
      </c>
      <c r="K4" s="81" t="s">
        <v>40</v>
      </c>
      <c r="L4" s="81" t="s">
        <v>41</v>
      </c>
      <c r="M4" s="82" t="s">
        <v>0</v>
      </c>
      <c r="N4" s="83" t="s">
        <v>18</v>
      </c>
      <c r="O4" s="81" t="s">
        <v>19</v>
      </c>
      <c r="P4" s="81" t="s">
        <v>20</v>
      </c>
      <c r="Q4" s="81" t="s">
        <v>22</v>
      </c>
      <c r="R4" s="82" t="s">
        <v>13</v>
      </c>
      <c r="S4" s="83" t="s">
        <v>18</v>
      </c>
      <c r="T4" s="81" t="s">
        <v>19</v>
      </c>
      <c r="U4" s="81" t="s">
        <v>20</v>
      </c>
      <c r="V4" s="81" t="s">
        <v>22</v>
      </c>
      <c r="W4" s="82" t="s">
        <v>13</v>
      </c>
      <c r="X4" s="83" t="s">
        <v>18</v>
      </c>
      <c r="Y4" s="81" t="s">
        <v>19</v>
      </c>
      <c r="Z4" s="81" t="s">
        <v>20</v>
      </c>
      <c r="AA4" s="81" t="s">
        <v>22</v>
      </c>
      <c r="AB4" s="82" t="s">
        <v>13</v>
      </c>
      <c r="AC4" s="83" t="s">
        <v>18</v>
      </c>
      <c r="AD4" s="81" t="s">
        <v>19</v>
      </c>
      <c r="AE4" s="81" t="s">
        <v>20</v>
      </c>
      <c r="AF4" s="81" t="s">
        <v>22</v>
      </c>
      <c r="AG4" s="82" t="s">
        <v>13</v>
      </c>
      <c r="AH4" s="83" t="s">
        <v>18</v>
      </c>
      <c r="AI4" s="81" t="s">
        <v>19</v>
      </c>
      <c r="AJ4" s="81" t="s">
        <v>20</v>
      </c>
      <c r="AK4" s="81" t="s">
        <v>22</v>
      </c>
      <c r="AL4" s="232" t="s">
        <v>72</v>
      </c>
      <c r="AM4" s="259" t="s">
        <v>95</v>
      </c>
      <c r="AN4" s="260"/>
    </row>
    <row r="5" spans="1:49" s="69" customFormat="1" ht="54.95" customHeight="1" x14ac:dyDescent="0.25">
      <c r="A5" s="72">
        <v>1</v>
      </c>
      <c r="B5" s="87"/>
      <c r="C5" s="188">
        <v>235896</v>
      </c>
      <c r="D5" s="234" t="str">
        <f>IFERROR(VLOOKUP(C5,'Customer Data Base'!$B$6:$H$29,COLUMNS('Customer Data Base'!$B$6:$C$6),0),"")</f>
        <v>Lahalle</v>
      </c>
      <c r="E5" s="236">
        <f>IFERROR(VLOOKUP(C5,'Customer Data Base'!$B$6:$H$29,COLUMNS('Customer Data Base'!$B$6:$D$29),0),"")</f>
        <v>5689444</v>
      </c>
      <c r="F5" s="237" t="str">
        <f>IFERROR(VLOOKUP(C5,'Customer Data Base'!$B$6:$H$29,COLUMNS('Customer Data Base'!$B$6:$E$6),0),"")</f>
        <v>D-58962</v>
      </c>
      <c r="G5" s="236" t="str">
        <f>IFERROR(VLOOKUP(C5,'Customer Data Base'!$B$6:$H$29,COLUMNS('Customer Data Base'!$B$6:$F$6),0),"")</f>
        <v>Dark Black</v>
      </c>
      <c r="H5" s="238">
        <f>IFERROR(VLOOKUP(C5,'Customer Data Base'!$B$6:$H$29,COLUMNS('Customer Data Base'!$B$6:$G$6),0),"")</f>
        <v>1740</v>
      </c>
      <c r="I5" s="118" t="s">
        <v>73</v>
      </c>
      <c r="J5" s="107">
        <v>42736</v>
      </c>
      <c r="K5" s="142">
        <v>900</v>
      </c>
      <c r="L5" s="143">
        <f>+K5</f>
        <v>900</v>
      </c>
      <c r="M5" s="144">
        <f t="shared" ref="M5" si="0">+H5-L5</f>
        <v>840</v>
      </c>
      <c r="N5" s="150">
        <v>100</v>
      </c>
      <c r="O5" s="151">
        <v>120</v>
      </c>
      <c r="P5" s="151">
        <f t="shared" ref="P5" si="1">O5+N5</f>
        <v>220</v>
      </c>
      <c r="Q5" s="151">
        <f>+P5</f>
        <v>220</v>
      </c>
      <c r="R5" s="144">
        <f t="shared" ref="R5" si="2">L5-Q5</f>
        <v>680</v>
      </c>
      <c r="S5" s="155">
        <v>90</v>
      </c>
      <c r="T5" s="156">
        <v>110</v>
      </c>
      <c r="U5" s="151">
        <f t="shared" ref="U5" si="3">T5+S5</f>
        <v>200</v>
      </c>
      <c r="V5" s="156">
        <f>+U5</f>
        <v>200</v>
      </c>
      <c r="W5" s="144">
        <f t="shared" ref="W5" si="4">L5-V5</f>
        <v>700</v>
      </c>
      <c r="X5" s="155">
        <v>85</v>
      </c>
      <c r="Y5" s="151">
        <v>115</v>
      </c>
      <c r="Z5" s="151">
        <f t="shared" ref="Z5" si="5">Y5+X5</f>
        <v>200</v>
      </c>
      <c r="AA5" s="156">
        <f>+Z5</f>
        <v>200</v>
      </c>
      <c r="AB5" s="144">
        <f t="shared" ref="AB5" si="6">L5-AA5</f>
        <v>700</v>
      </c>
      <c r="AC5" s="155">
        <v>85</v>
      </c>
      <c r="AD5" s="156">
        <v>110</v>
      </c>
      <c r="AE5" s="151">
        <f t="shared" ref="AE5" si="7">AD5+AC5</f>
        <v>195</v>
      </c>
      <c r="AF5" s="156">
        <f>+AE5</f>
        <v>195</v>
      </c>
      <c r="AG5" s="144">
        <f>L5-AF5</f>
        <v>705</v>
      </c>
      <c r="AH5" s="155">
        <v>60</v>
      </c>
      <c r="AI5" s="156">
        <v>80</v>
      </c>
      <c r="AJ5" s="151">
        <f t="shared" ref="AJ5" si="8">AI5+AH5</f>
        <v>140</v>
      </c>
      <c r="AK5" s="156">
        <f>+AJ5</f>
        <v>140</v>
      </c>
      <c r="AL5" s="229">
        <f>L5-AK5</f>
        <v>760</v>
      </c>
      <c r="AM5" s="255" t="s">
        <v>99</v>
      </c>
      <c r="AN5" s="256"/>
      <c r="AP5" s="233" t="s">
        <v>96</v>
      </c>
    </row>
    <row r="6" spans="1:49" s="69" customFormat="1" ht="54.95" customHeight="1" x14ac:dyDescent="0.25">
      <c r="A6" s="72">
        <v>2</v>
      </c>
      <c r="B6" s="87"/>
      <c r="C6" s="85">
        <v>325467</v>
      </c>
      <c r="D6" s="190" t="str">
        <f>IFERROR(VLOOKUP(C6,'Customer Data Base'!$B$6:$H$29,COLUMNS('Customer Data Base'!$B$6:$C$6),0),"")</f>
        <v>Kiabi</v>
      </c>
      <c r="E6" s="86">
        <f>IFERROR(VLOOKUP(C6,'Customer Data Base'!$B$6:$H$29,COLUMNS('Customer Data Base'!$B$6:$D$29),0),"")</f>
        <v>238964</v>
      </c>
      <c r="F6" s="96" t="str">
        <f>IFERROR(VLOOKUP(C6,'Customer Data Base'!$B$6:$H$29,COLUMNS('Customer Data Base'!$B$6:$E$6),0),"")</f>
        <v>A-25896</v>
      </c>
      <c r="G6" s="86" t="str">
        <f>IFERROR(VLOOKUP(C6,'Customer Data Base'!$B$6:$H$29,COLUMNS('Customer Data Base'!$B$6:$F$6),0),"")</f>
        <v>Black</v>
      </c>
      <c r="H6" s="86">
        <f>IFERROR(VLOOKUP(C6,'Customer Data Base'!$B$6:$H$29,COLUMNS('Customer Data Base'!$B$6:$G$6),0),"")</f>
        <v>980</v>
      </c>
      <c r="I6" s="235" t="s">
        <v>73</v>
      </c>
      <c r="J6" s="108">
        <v>42736</v>
      </c>
      <c r="K6" s="106">
        <v>800</v>
      </c>
      <c r="L6" s="89">
        <f>+K6</f>
        <v>800</v>
      </c>
      <c r="M6" s="145">
        <f t="shared" ref="M6" si="9">+H6-L6</f>
        <v>180</v>
      </c>
      <c r="N6" s="152"/>
      <c r="O6" s="90"/>
      <c r="P6" s="90">
        <f t="shared" ref="P6" si="10">O6+N6</f>
        <v>0</v>
      </c>
      <c r="Q6" s="90">
        <f>+P6</f>
        <v>0</v>
      </c>
      <c r="R6" s="145">
        <f t="shared" ref="R6" si="11">L6-Q6</f>
        <v>800</v>
      </c>
      <c r="S6" s="157"/>
      <c r="T6" s="91"/>
      <c r="U6" s="90">
        <f t="shared" ref="U6" si="12">T6+S6</f>
        <v>0</v>
      </c>
      <c r="V6" s="91">
        <f>+U6</f>
        <v>0</v>
      </c>
      <c r="W6" s="145">
        <f t="shared" ref="W6" si="13">L6-V6</f>
        <v>800</v>
      </c>
      <c r="X6" s="157"/>
      <c r="Y6" s="90"/>
      <c r="Z6" s="90">
        <f t="shared" ref="Z6" si="14">Y6+X6</f>
        <v>0</v>
      </c>
      <c r="AA6" s="91">
        <f>+Z6</f>
        <v>0</v>
      </c>
      <c r="AB6" s="145">
        <f t="shared" ref="AB6" si="15">L6-AA6</f>
        <v>800</v>
      </c>
      <c r="AC6" s="157"/>
      <c r="AD6" s="91"/>
      <c r="AE6" s="90">
        <f t="shared" ref="AE6" si="16">AD6+AC6</f>
        <v>0</v>
      </c>
      <c r="AF6" s="91">
        <f>+AE6</f>
        <v>0</v>
      </c>
      <c r="AG6" s="145">
        <f t="shared" ref="AG6" si="17">L6-AF6</f>
        <v>800</v>
      </c>
      <c r="AH6" s="157"/>
      <c r="AI6" s="91"/>
      <c r="AJ6" s="90">
        <f t="shared" ref="AJ6" si="18">AI6+AH6</f>
        <v>0</v>
      </c>
      <c r="AK6" s="91">
        <f>+AJ6</f>
        <v>0</v>
      </c>
      <c r="AL6" s="230">
        <f t="shared" ref="AL6" si="19">L6-AK6</f>
        <v>800</v>
      </c>
      <c r="AM6" s="255" t="s">
        <v>99</v>
      </c>
      <c r="AN6" s="256"/>
      <c r="AP6" s="233" t="s">
        <v>97</v>
      </c>
    </row>
    <row r="7" spans="1:49" s="69" customFormat="1" ht="54.95" customHeight="1" x14ac:dyDescent="0.25">
      <c r="A7" s="72">
        <f t="shared" ref="A7:A19" si="20">A6+1</f>
        <v>3</v>
      </c>
      <c r="B7" s="87"/>
      <c r="C7" s="191" t="s">
        <v>63</v>
      </c>
      <c r="D7" s="190" t="str">
        <f>IFERROR(VLOOKUP(C7,'Customer Data Base'!$B$6:$H$29,COLUMNS('Customer Data Base'!$B$6:$C$6),0),"")</f>
        <v>Celio</v>
      </c>
      <c r="E7" s="86">
        <f>IFERROR(VLOOKUP(C7,'Customer Data Base'!$B$6:$H$29,COLUMNS('Customer Data Base'!$B$6:$D$29),0),"")</f>
        <v>568963</v>
      </c>
      <c r="F7" s="96" t="str">
        <f>IFERROR(VLOOKUP(C7,'Customer Data Base'!$B$6:$H$29,COLUMNS('Customer Data Base'!$B$6:$E$6),0),"")</f>
        <v>Z-22243</v>
      </c>
      <c r="G7" s="86" t="str">
        <f>IFERROR(VLOOKUP(C7,'Customer Data Base'!$B$6:$H$29,COLUMNS('Customer Data Base'!$B$6:$F$6),0),"")</f>
        <v>Blue</v>
      </c>
      <c r="H7" s="86">
        <f>IFERROR(VLOOKUP(C7,'Customer Data Base'!$B$6:$H$29,COLUMNS('Customer Data Base'!$B$6:$G$6),0),"")</f>
        <v>2150</v>
      </c>
      <c r="I7" s="193" t="s">
        <v>73</v>
      </c>
      <c r="J7" s="108">
        <v>42736</v>
      </c>
      <c r="K7" s="106"/>
      <c r="L7" s="89">
        <f>+K7</f>
        <v>0</v>
      </c>
      <c r="M7" s="146">
        <f t="shared" ref="M7" si="21">+H7-L7</f>
        <v>2150</v>
      </c>
      <c r="N7" s="152"/>
      <c r="O7" s="90"/>
      <c r="P7" s="90">
        <f t="shared" ref="P7" si="22">O7+N7</f>
        <v>0</v>
      </c>
      <c r="Q7" s="90">
        <f t="shared" ref="Q7:Q18" si="23">+P7</f>
        <v>0</v>
      </c>
      <c r="R7" s="145">
        <f t="shared" ref="R7" si="24">L7-Q7</f>
        <v>0</v>
      </c>
      <c r="S7" s="157"/>
      <c r="T7" s="91"/>
      <c r="U7" s="90">
        <f t="shared" ref="U7" si="25">T7+S7</f>
        <v>0</v>
      </c>
      <c r="V7" s="91">
        <f t="shared" ref="V7:V18" si="26">+U7</f>
        <v>0</v>
      </c>
      <c r="W7" s="145">
        <f t="shared" ref="W7" si="27">L7-V7</f>
        <v>0</v>
      </c>
      <c r="X7" s="157"/>
      <c r="Y7" s="90"/>
      <c r="Z7" s="90">
        <f t="shared" ref="Z7" si="28">Y7+X7</f>
        <v>0</v>
      </c>
      <c r="AA7" s="91">
        <f t="shared" ref="AA7:AA18" si="29">+Z7</f>
        <v>0</v>
      </c>
      <c r="AB7" s="145">
        <f t="shared" ref="AB7" si="30">L7-AA7</f>
        <v>0</v>
      </c>
      <c r="AC7" s="157"/>
      <c r="AD7" s="91"/>
      <c r="AE7" s="90">
        <f t="shared" ref="AE7" si="31">AD7+AC7</f>
        <v>0</v>
      </c>
      <c r="AF7" s="91">
        <f t="shared" ref="AF7:AF18" si="32">+AE7</f>
        <v>0</v>
      </c>
      <c r="AG7" s="145">
        <f t="shared" ref="AG7" si="33">L7-AF7</f>
        <v>0</v>
      </c>
      <c r="AH7" s="157"/>
      <c r="AI7" s="91"/>
      <c r="AJ7" s="90">
        <f>AI7+AH7</f>
        <v>0</v>
      </c>
      <c r="AK7" s="91">
        <f t="shared" ref="AK7:AK18" si="34">+AJ7</f>
        <v>0</v>
      </c>
      <c r="AL7" s="230">
        <f t="shared" ref="AL7" si="35">L7-AK7</f>
        <v>0</v>
      </c>
      <c r="AM7" s="255" t="s">
        <v>99</v>
      </c>
      <c r="AN7" s="256"/>
      <c r="AP7" s="233" t="s">
        <v>98</v>
      </c>
    </row>
    <row r="8" spans="1:49" s="69" customFormat="1" ht="54.95" customHeight="1" x14ac:dyDescent="0.25">
      <c r="A8" s="72">
        <f t="shared" si="20"/>
        <v>4</v>
      </c>
      <c r="B8" s="87"/>
      <c r="C8" s="85">
        <v>2389547</v>
      </c>
      <c r="D8" s="190" t="str">
        <f>IFERROR(VLOOKUP(C8,'Customer Data Base'!$B$6:$H$29,COLUMNS('Customer Data Base'!$B$6:$C$6),0),"")</f>
        <v>Levis</v>
      </c>
      <c r="E8" s="86">
        <f>IFERROR(VLOOKUP(C8,'Customer Data Base'!$B$6:$H$29,COLUMNS('Customer Data Base'!$B$6:$D$29),0),"")</f>
        <v>586952</v>
      </c>
      <c r="F8" s="96" t="str">
        <f>IFERROR(VLOOKUP(C8,'Customer Data Base'!$B$6:$H$29,COLUMNS('Customer Data Base'!$B$6:$E$6),0),"")</f>
        <v>B-56896</v>
      </c>
      <c r="G8" s="86" t="str">
        <f>IFERROR(VLOOKUP(C8,'Customer Data Base'!$B$6:$H$29,COLUMNS('Customer Data Base'!$B$6:$F$6),0),"")</f>
        <v>Blue</v>
      </c>
      <c r="H8" s="86">
        <f>IFERROR(VLOOKUP(C8,'Customer Data Base'!$B$6:$H$29,COLUMNS('Customer Data Base'!$B$6:$G$6),0),"")</f>
        <v>1150</v>
      </c>
      <c r="I8" s="193" t="s">
        <v>73</v>
      </c>
      <c r="J8" s="108">
        <v>42736</v>
      </c>
      <c r="K8" s="106"/>
      <c r="L8" s="89">
        <f>+K8</f>
        <v>0</v>
      </c>
      <c r="M8" s="145">
        <f>H8-L8</f>
        <v>1150</v>
      </c>
      <c r="N8" s="152"/>
      <c r="O8" s="90"/>
      <c r="P8" s="90">
        <f t="shared" ref="P8" si="36">O8+N8</f>
        <v>0</v>
      </c>
      <c r="Q8" s="90">
        <f t="shared" si="23"/>
        <v>0</v>
      </c>
      <c r="R8" s="145">
        <f t="shared" ref="R8" si="37">L8-Q8</f>
        <v>0</v>
      </c>
      <c r="S8" s="157"/>
      <c r="T8" s="91"/>
      <c r="U8" s="90">
        <f t="shared" ref="U8" si="38">T8+S8</f>
        <v>0</v>
      </c>
      <c r="V8" s="91">
        <f t="shared" si="26"/>
        <v>0</v>
      </c>
      <c r="W8" s="145">
        <f t="shared" ref="W8" si="39">L8-V8</f>
        <v>0</v>
      </c>
      <c r="X8" s="157"/>
      <c r="Y8" s="90"/>
      <c r="Z8" s="90">
        <f t="shared" ref="Z8" si="40">Y8+X8</f>
        <v>0</v>
      </c>
      <c r="AA8" s="91">
        <f t="shared" si="29"/>
        <v>0</v>
      </c>
      <c r="AB8" s="145">
        <f t="shared" ref="AB8" si="41">L8-AA8</f>
        <v>0</v>
      </c>
      <c r="AC8" s="157"/>
      <c r="AD8" s="91"/>
      <c r="AE8" s="90">
        <f t="shared" ref="AE8" si="42">AD8+AC8</f>
        <v>0</v>
      </c>
      <c r="AF8" s="91">
        <f t="shared" si="32"/>
        <v>0</v>
      </c>
      <c r="AG8" s="145">
        <f t="shared" ref="AG8" si="43">L8-AF8</f>
        <v>0</v>
      </c>
      <c r="AH8" s="157"/>
      <c r="AI8" s="91"/>
      <c r="AJ8" s="90">
        <f t="shared" ref="AJ8" si="44">AI8+AH8</f>
        <v>0</v>
      </c>
      <c r="AK8" s="91">
        <f t="shared" si="34"/>
        <v>0</v>
      </c>
      <c r="AL8" s="230">
        <f t="shared" ref="AL8" si="45">L8-AK8</f>
        <v>0</v>
      </c>
      <c r="AM8" s="255" t="s">
        <v>99</v>
      </c>
      <c r="AN8" s="256"/>
      <c r="AP8" s="233" t="s">
        <v>99</v>
      </c>
    </row>
    <row r="9" spans="1:49" s="69" customFormat="1" ht="54.95" customHeight="1" x14ac:dyDescent="0.25">
      <c r="A9" s="72">
        <f t="shared" si="20"/>
        <v>5</v>
      </c>
      <c r="B9" s="87"/>
      <c r="C9" s="85">
        <v>12345678</v>
      </c>
      <c r="D9" s="190" t="str">
        <f>IFERROR(VLOOKUP(C9,'Customer Data Base'!$B$6:$H$29,COLUMNS('Customer Data Base'!$B$6:$C$6),0),"")</f>
        <v>abc</v>
      </c>
      <c r="E9" s="86">
        <f>IFERROR(VLOOKUP(C9,'Customer Data Base'!$B$6:$H$29,COLUMNS('Customer Data Base'!$B$6:$D$29),0),"")</f>
        <v>265893</v>
      </c>
      <c r="F9" s="96" t="str">
        <f>IFERROR(VLOOKUP(C9,'Customer Data Base'!$B$6:$H$29,COLUMNS('Customer Data Base'!$B$6:$E$6),0),"")</f>
        <v>A-25876</v>
      </c>
      <c r="G9" s="86">
        <f>IFERROR(VLOOKUP(C9,'Customer Data Base'!$B$6:$H$29,COLUMNS('Customer Data Base'!$B$6:$F$6),0),"")</f>
        <v>0</v>
      </c>
      <c r="H9" s="86">
        <f>IFERROR(VLOOKUP(C9,'Customer Data Base'!$B$6:$H$29,COLUMNS('Customer Data Base'!$B$6:$G$6),0),"")</f>
        <v>1200</v>
      </c>
      <c r="I9" s="193" t="s">
        <v>73</v>
      </c>
      <c r="J9" s="108"/>
      <c r="K9" s="106"/>
      <c r="L9" s="89">
        <f>+K9</f>
        <v>0</v>
      </c>
      <c r="M9" s="145">
        <f t="shared" ref="M9" si="46">+H9-L9</f>
        <v>1200</v>
      </c>
      <c r="N9" s="152"/>
      <c r="O9" s="90"/>
      <c r="P9" s="90">
        <f t="shared" ref="P9" si="47">O9+N9</f>
        <v>0</v>
      </c>
      <c r="Q9" s="90">
        <f t="shared" si="23"/>
        <v>0</v>
      </c>
      <c r="R9" s="145">
        <f t="shared" ref="R9" si="48">L9-Q9</f>
        <v>0</v>
      </c>
      <c r="S9" s="157"/>
      <c r="T9" s="91"/>
      <c r="U9" s="90">
        <f t="shared" ref="U9" si="49">T9+S9</f>
        <v>0</v>
      </c>
      <c r="V9" s="91">
        <f t="shared" si="26"/>
        <v>0</v>
      </c>
      <c r="W9" s="145">
        <f t="shared" ref="W9" si="50">L9-V9</f>
        <v>0</v>
      </c>
      <c r="X9" s="157"/>
      <c r="Y9" s="90"/>
      <c r="Z9" s="90">
        <f t="shared" ref="Z9" si="51">Y9+X9</f>
        <v>0</v>
      </c>
      <c r="AA9" s="91">
        <f t="shared" si="29"/>
        <v>0</v>
      </c>
      <c r="AB9" s="145">
        <f t="shared" ref="AB9" si="52">L9-AA9</f>
        <v>0</v>
      </c>
      <c r="AC9" s="157"/>
      <c r="AD9" s="91"/>
      <c r="AE9" s="90">
        <f t="shared" ref="AE9" si="53">AD9+AC9</f>
        <v>0</v>
      </c>
      <c r="AF9" s="91">
        <f t="shared" si="32"/>
        <v>0</v>
      </c>
      <c r="AG9" s="145">
        <f t="shared" ref="AG9" si="54">L9-AF9</f>
        <v>0</v>
      </c>
      <c r="AH9" s="157"/>
      <c r="AI9" s="91"/>
      <c r="AJ9" s="90">
        <f t="shared" ref="AJ9" si="55">AI9+AH9</f>
        <v>0</v>
      </c>
      <c r="AK9" s="91">
        <f t="shared" si="34"/>
        <v>0</v>
      </c>
      <c r="AL9" s="230">
        <f t="shared" ref="AL9" si="56">L9-AK9</f>
        <v>0</v>
      </c>
      <c r="AM9" s="255" t="s">
        <v>99</v>
      </c>
      <c r="AN9" s="256"/>
    </row>
    <row r="10" spans="1:49" s="69" customFormat="1" ht="54.95" customHeight="1" x14ac:dyDescent="0.25">
      <c r="A10" s="72">
        <f t="shared" si="20"/>
        <v>6</v>
      </c>
      <c r="B10" s="87"/>
      <c r="C10" s="85"/>
      <c r="D10" s="190" t="str">
        <f>IFERROR(VLOOKUP(C10,'Customer Data Base'!$B$6:$H$29,COLUMNS('Customer Data Base'!$B$6:$C$6),0),"")</f>
        <v/>
      </c>
      <c r="E10" s="86" t="str">
        <f>IFERROR(VLOOKUP(C10,'Customer Data Base'!$B$6:$H$29,COLUMNS('Customer Data Base'!$B$6:$D$29),0),"")</f>
        <v/>
      </c>
      <c r="F10" s="96" t="str">
        <f>IFERROR(VLOOKUP(C10,'Customer Data Base'!$B$6:$H$29,COLUMNS('Customer Data Base'!$B$6:$E$6),0),"")</f>
        <v/>
      </c>
      <c r="G10" s="86" t="str">
        <f>IFERROR(VLOOKUP(C10,'Customer Data Base'!$B$6:$H$29,COLUMNS('Customer Data Base'!$B$6:$F$6),0),"")</f>
        <v/>
      </c>
      <c r="H10" s="86" t="str">
        <f>IFERROR(VLOOKUP(C10,'Customer Data Base'!$B$6:$H$29,COLUMNS('Customer Data Base'!$B$6:$G$6),0),"")</f>
        <v/>
      </c>
      <c r="I10" s="193" t="s">
        <v>73</v>
      </c>
      <c r="J10" s="108"/>
      <c r="K10" s="106"/>
      <c r="L10" s="89">
        <f t="shared" ref="L10:L18" si="57">+K10</f>
        <v>0</v>
      </c>
      <c r="M10" s="145" t="e">
        <f t="shared" ref="M10" si="58">+H10-L10</f>
        <v>#VALUE!</v>
      </c>
      <c r="N10" s="152"/>
      <c r="O10" s="90"/>
      <c r="P10" s="90">
        <f t="shared" ref="P10" si="59">O10+N10</f>
        <v>0</v>
      </c>
      <c r="Q10" s="90">
        <f t="shared" si="23"/>
        <v>0</v>
      </c>
      <c r="R10" s="145">
        <f t="shared" ref="R10" si="60">L10-Q10</f>
        <v>0</v>
      </c>
      <c r="S10" s="157"/>
      <c r="T10" s="91"/>
      <c r="U10" s="90">
        <f t="shared" ref="U10" si="61">T10+S10</f>
        <v>0</v>
      </c>
      <c r="V10" s="91">
        <f t="shared" si="26"/>
        <v>0</v>
      </c>
      <c r="W10" s="145">
        <f t="shared" ref="W10" si="62">L10-V10</f>
        <v>0</v>
      </c>
      <c r="X10" s="157"/>
      <c r="Y10" s="90"/>
      <c r="Z10" s="90">
        <f t="shared" ref="Z10" si="63">Y10+X10</f>
        <v>0</v>
      </c>
      <c r="AA10" s="91">
        <f t="shared" si="29"/>
        <v>0</v>
      </c>
      <c r="AB10" s="145">
        <f t="shared" ref="AB10" si="64">L10-AA10</f>
        <v>0</v>
      </c>
      <c r="AC10" s="157"/>
      <c r="AD10" s="91"/>
      <c r="AE10" s="90">
        <f t="shared" ref="AE10" si="65">AD10+AC10</f>
        <v>0</v>
      </c>
      <c r="AF10" s="91">
        <f t="shared" si="32"/>
        <v>0</v>
      </c>
      <c r="AG10" s="145">
        <f t="shared" ref="AG10" si="66">L10-AF10</f>
        <v>0</v>
      </c>
      <c r="AH10" s="157"/>
      <c r="AI10" s="91"/>
      <c r="AJ10" s="90">
        <f t="shared" ref="AJ10" si="67">AI10+AH10</f>
        <v>0</v>
      </c>
      <c r="AK10" s="91">
        <f t="shared" si="34"/>
        <v>0</v>
      </c>
      <c r="AL10" s="230">
        <f t="shared" ref="AL10" si="68">L10-AK10</f>
        <v>0</v>
      </c>
      <c r="AM10" s="255" t="s">
        <v>99</v>
      </c>
      <c r="AN10" s="256"/>
    </row>
    <row r="11" spans="1:49" s="69" customFormat="1" ht="54.95" customHeight="1" x14ac:dyDescent="0.25">
      <c r="A11" s="72">
        <f t="shared" si="20"/>
        <v>7</v>
      </c>
      <c r="B11" s="87"/>
      <c r="C11" s="85"/>
      <c r="D11" s="190" t="str">
        <f>IFERROR(VLOOKUP(C11,'Customer Data Base'!$B$6:$H$29,COLUMNS('Customer Data Base'!$B$6:$C$6),0),"")</f>
        <v/>
      </c>
      <c r="E11" s="86" t="str">
        <f>IFERROR(VLOOKUP(C11,'Customer Data Base'!$B$6:$H$29,COLUMNS('Customer Data Base'!$B$6:$D$29),0),"")</f>
        <v/>
      </c>
      <c r="F11" s="96" t="str">
        <f>IFERROR(VLOOKUP(C11,'Customer Data Base'!$B$6:$H$29,COLUMNS('Customer Data Base'!$B$6:$E$6),0),"")</f>
        <v/>
      </c>
      <c r="G11" s="86" t="str">
        <f>IFERROR(VLOOKUP(C11,'Customer Data Base'!$B$6:$H$29,COLUMNS('Customer Data Base'!$B$6:$F$6),0),"")</f>
        <v/>
      </c>
      <c r="H11" s="86" t="str">
        <f>IFERROR(VLOOKUP(C11,'Customer Data Base'!$B$6:$H$29,COLUMNS('Customer Data Base'!$B$6:$G$6),0),"")</f>
        <v/>
      </c>
      <c r="I11" s="193" t="s">
        <v>73</v>
      </c>
      <c r="J11" s="108"/>
      <c r="K11" s="106"/>
      <c r="L11" s="89">
        <f t="shared" si="57"/>
        <v>0</v>
      </c>
      <c r="M11" s="145" t="e">
        <f t="shared" ref="M11" si="69">+H11-L11</f>
        <v>#VALUE!</v>
      </c>
      <c r="N11" s="152"/>
      <c r="O11" s="90"/>
      <c r="P11" s="90">
        <f t="shared" ref="P11" si="70">O11+N11</f>
        <v>0</v>
      </c>
      <c r="Q11" s="90">
        <f t="shared" si="23"/>
        <v>0</v>
      </c>
      <c r="R11" s="145">
        <f t="shared" ref="R11" si="71">L11-Q11</f>
        <v>0</v>
      </c>
      <c r="S11" s="157"/>
      <c r="T11" s="91"/>
      <c r="U11" s="90">
        <f t="shared" ref="U11" si="72">T11+S11</f>
        <v>0</v>
      </c>
      <c r="V11" s="91">
        <f t="shared" si="26"/>
        <v>0</v>
      </c>
      <c r="W11" s="145">
        <f t="shared" ref="W11" si="73">L11-V11</f>
        <v>0</v>
      </c>
      <c r="X11" s="157"/>
      <c r="Y11" s="90"/>
      <c r="Z11" s="90">
        <f t="shared" ref="Z11" si="74">Y11+X11</f>
        <v>0</v>
      </c>
      <c r="AA11" s="91">
        <f t="shared" si="29"/>
        <v>0</v>
      </c>
      <c r="AB11" s="145">
        <f t="shared" ref="AB11" si="75">L11-AA11</f>
        <v>0</v>
      </c>
      <c r="AC11" s="157"/>
      <c r="AD11" s="91"/>
      <c r="AE11" s="90">
        <f t="shared" ref="AE11" si="76">AD11+AC11</f>
        <v>0</v>
      </c>
      <c r="AF11" s="91">
        <f t="shared" si="32"/>
        <v>0</v>
      </c>
      <c r="AG11" s="145">
        <f t="shared" ref="AG11" si="77">L11-AF11</f>
        <v>0</v>
      </c>
      <c r="AH11" s="157"/>
      <c r="AI11" s="91"/>
      <c r="AJ11" s="90">
        <f t="shared" ref="AJ11" si="78">AI11+AH11</f>
        <v>0</v>
      </c>
      <c r="AK11" s="91">
        <f t="shared" si="34"/>
        <v>0</v>
      </c>
      <c r="AL11" s="230">
        <f t="shared" ref="AL11" si="79">L11-AK11</f>
        <v>0</v>
      </c>
      <c r="AM11" s="255" t="s">
        <v>99</v>
      </c>
      <c r="AN11" s="256"/>
    </row>
    <row r="12" spans="1:49" s="69" customFormat="1" ht="54.95" customHeight="1" x14ac:dyDescent="0.25">
      <c r="A12" s="72">
        <f t="shared" si="20"/>
        <v>8</v>
      </c>
      <c r="B12" s="87"/>
      <c r="C12" s="85"/>
      <c r="D12" s="190" t="str">
        <f>IFERROR(VLOOKUP(C12,'Customer Data Base'!$B$6:$H$29,COLUMNS('Customer Data Base'!$B$6:$C$6),0),"")</f>
        <v/>
      </c>
      <c r="E12" s="86" t="str">
        <f>IFERROR(VLOOKUP(C12,'Customer Data Base'!$B$6:$H$29,COLUMNS('Customer Data Base'!$B$6:$D$29),0),"")</f>
        <v/>
      </c>
      <c r="F12" s="96" t="str">
        <f>IFERROR(VLOOKUP(C12,'Customer Data Base'!$B$6:$H$29,COLUMNS('Customer Data Base'!$B$6:$E$6),0),"")</f>
        <v/>
      </c>
      <c r="G12" s="86" t="str">
        <f>IFERROR(VLOOKUP(C12,'Customer Data Base'!$B$6:$H$29,COLUMNS('Customer Data Base'!$B$6:$F$6),0),"")</f>
        <v/>
      </c>
      <c r="H12" s="86" t="str">
        <f>IFERROR(VLOOKUP(C12,'Customer Data Base'!$B$6:$H$29,COLUMNS('Customer Data Base'!$B$6:$G$6),0),"")</f>
        <v/>
      </c>
      <c r="I12" s="193" t="s">
        <v>73</v>
      </c>
      <c r="J12" s="108"/>
      <c r="K12" s="106"/>
      <c r="L12" s="89">
        <f t="shared" si="57"/>
        <v>0</v>
      </c>
      <c r="M12" s="145" t="e">
        <f t="shared" ref="M12" si="80">+H12-L12</f>
        <v>#VALUE!</v>
      </c>
      <c r="N12" s="152"/>
      <c r="O12" s="90"/>
      <c r="P12" s="90">
        <f t="shared" ref="P12" si="81">O12+N12</f>
        <v>0</v>
      </c>
      <c r="Q12" s="90">
        <f t="shared" si="23"/>
        <v>0</v>
      </c>
      <c r="R12" s="145">
        <f t="shared" ref="R12" si="82">L12-Q12</f>
        <v>0</v>
      </c>
      <c r="S12" s="157"/>
      <c r="T12" s="91"/>
      <c r="U12" s="90">
        <f t="shared" ref="U12" si="83">T12+S12</f>
        <v>0</v>
      </c>
      <c r="V12" s="91">
        <f t="shared" si="26"/>
        <v>0</v>
      </c>
      <c r="W12" s="145">
        <f t="shared" ref="W12" si="84">L12-V12</f>
        <v>0</v>
      </c>
      <c r="X12" s="157"/>
      <c r="Y12" s="90"/>
      <c r="Z12" s="90">
        <f t="shared" ref="Z12" si="85">Y12+X12</f>
        <v>0</v>
      </c>
      <c r="AA12" s="91">
        <f t="shared" si="29"/>
        <v>0</v>
      </c>
      <c r="AB12" s="145">
        <f t="shared" ref="AB12" si="86">L12-AA12</f>
        <v>0</v>
      </c>
      <c r="AC12" s="157"/>
      <c r="AD12" s="91"/>
      <c r="AE12" s="90">
        <f t="shared" ref="AE12" si="87">AD12+AC12</f>
        <v>0</v>
      </c>
      <c r="AF12" s="91">
        <f t="shared" si="32"/>
        <v>0</v>
      </c>
      <c r="AG12" s="145">
        <f t="shared" ref="AG12" si="88">L12-AF12</f>
        <v>0</v>
      </c>
      <c r="AH12" s="157"/>
      <c r="AI12" s="91"/>
      <c r="AJ12" s="90">
        <f t="shared" ref="AJ12" si="89">AI12+AH12</f>
        <v>0</v>
      </c>
      <c r="AK12" s="91">
        <f t="shared" si="34"/>
        <v>0</v>
      </c>
      <c r="AL12" s="230">
        <f t="shared" ref="AL12" si="90">L12-AK12</f>
        <v>0</v>
      </c>
      <c r="AM12" s="255" t="s">
        <v>99</v>
      </c>
      <c r="AN12" s="256"/>
    </row>
    <row r="13" spans="1:49" s="69" customFormat="1" ht="54.95" customHeight="1" x14ac:dyDescent="0.25">
      <c r="A13" s="72">
        <f t="shared" si="20"/>
        <v>9</v>
      </c>
      <c r="B13" s="87"/>
      <c r="C13" s="85"/>
      <c r="D13" s="190" t="str">
        <f>IFERROR(VLOOKUP(C13,'Customer Data Base'!$B$6:$H$29,COLUMNS('Customer Data Base'!$B$6:$C$6),0),"")</f>
        <v/>
      </c>
      <c r="E13" s="86" t="str">
        <f>IFERROR(VLOOKUP(C13,'Customer Data Base'!$B$6:$H$29,COLUMNS('Customer Data Base'!$B$6:$D$29),0),"")</f>
        <v/>
      </c>
      <c r="F13" s="96" t="str">
        <f>IFERROR(VLOOKUP(C13,'Customer Data Base'!$B$6:$H$29,COLUMNS('Customer Data Base'!$B$6:$E$6),0),"")</f>
        <v/>
      </c>
      <c r="G13" s="86" t="str">
        <f>IFERROR(VLOOKUP(C13,'Customer Data Base'!$B$6:$H$29,COLUMNS('Customer Data Base'!$B$6:$F$6),0),"")</f>
        <v/>
      </c>
      <c r="H13" s="86" t="str">
        <f>IFERROR(VLOOKUP(C13,'Customer Data Base'!$B$6:$H$29,COLUMNS('Customer Data Base'!$B$6:$G$6),0),"")</f>
        <v/>
      </c>
      <c r="I13" s="193" t="s">
        <v>73</v>
      </c>
      <c r="J13" s="108"/>
      <c r="K13" s="106"/>
      <c r="L13" s="89">
        <f t="shared" si="57"/>
        <v>0</v>
      </c>
      <c r="M13" s="145" t="e">
        <f t="shared" ref="M13" si="91">+H13-L13</f>
        <v>#VALUE!</v>
      </c>
      <c r="N13" s="152"/>
      <c r="O13" s="90"/>
      <c r="P13" s="90">
        <f t="shared" ref="P13" si="92">O13+N13</f>
        <v>0</v>
      </c>
      <c r="Q13" s="90">
        <f t="shared" si="23"/>
        <v>0</v>
      </c>
      <c r="R13" s="145">
        <f t="shared" ref="R13" si="93">L13-Q13</f>
        <v>0</v>
      </c>
      <c r="S13" s="157"/>
      <c r="T13" s="91"/>
      <c r="U13" s="90">
        <f t="shared" ref="U13" si="94">T13+S13</f>
        <v>0</v>
      </c>
      <c r="V13" s="91">
        <f t="shared" si="26"/>
        <v>0</v>
      </c>
      <c r="W13" s="145">
        <f t="shared" ref="W13" si="95">L13-V13</f>
        <v>0</v>
      </c>
      <c r="X13" s="157"/>
      <c r="Y13" s="90"/>
      <c r="Z13" s="90">
        <f t="shared" ref="Z13" si="96">Y13+X13</f>
        <v>0</v>
      </c>
      <c r="AA13" s="91">
        <f t="shared" si="29"/>
        <v>0</v>
      </c>
      <c r="AB13" s="145">
        <f t="shared" ref="AB13" si="97">L13-AA13</f>
        <v>0</v>
      </c>
      <c r="AC13" s="157"/>
      <c r="AD13" s="91"/>
      <c r="AE13" s="90">
        <f t="shared" ref="AE13" si="98">AD13+AC13</f>
        <v>0</v>
      </c>
      <c r="AF13" s="91">
        <f t="shared" si="32"/>
        <v>0</v>
      </c>
      <c r="AG13" s="145">
        <f t="shared" ref="AG13" si="99">L13-AF13</f>
        <v>0</v>
      </c>
      <c r="AH13" s="157"/>
      <c r="AI13" s="91"/>
      <c r="AJ13" s="90">
        <f t="shared" ref="AJ13" si="100">AI13+AH13</f>
        <v>0</v>
      </c>
      <c r="AK13" s="91">
        <f t="shared" si="34"/>
        <v>0</v>
      </c>
      <c r="AL13" s="230">
        <f t="shared" ref="AL13" si="101">L13-AK13</f>
        <v>0</v>
      </c>
      <c r="AM13" s="255" t="s">
        <v>99</v>
      </c>
      <c r="AN13" s="256"/>
    </row>
    <row r="14" spans="1:49" s="69" customFormat="1" ht="54.95" customHeight="1" x14ac:dyDescent="0.25">
      <c r="A14" s="72">
        <f t="shared" si="20"/>
        <v>10</v>
      </c>
      <c r="B14" s="87"/>
      <c r="C14" s="85"/>
      <c r="D14" s="190" t="str">
        <f>IFERROR(VLOOKUP(C14,'Customer Data Base'!$B$6:$H$29,COLUMNS('Customer Data Base'!$B$6:$C$6),0),"")</f>
        <v/>
      </c>
      <c r="E14" s="86" t="str">
        <f>IFERROR(VLOOKUP(C14,'Customer Data Base'!$B$6:$H$29,COLUMNS('Customer Data Base'!$B$6:$D$29),0),"")</f>
        <v/>
      </c>
      <c r="F14" s="96" t="str">
        <f>IFERROR(VLOOKUP(C14,'Customer Data Base'!$B$6:$H$29,COLUMNS('Customer Data Base'!$B$6:$E$6),0),"")</f>
        <v/>
      </c>
      <c r="G14" s="86" t="str">
        <f>IFERROR(VLOOKUP(C14,'Customer Data Base'!$B$6:$H$29,COLUMNS('Customer Data Base'!$B$6:$F$6),0),"")</f>
        <v/>
      </c>
      <c r="H14" s="86" t="str">
        <f>IFERROR(VLOOKUP(C14,'Customer Data Base'!$B$6:$H$29,COLUMNS('Customer Data Base'!$B$6:$G$6),0),"")</f>
        <v/>
      </c>
      <c r="I14" s="193" t="s">
        <v>73</v>
      </c>
      <c r="J14" s="108"/>
      <c r="K14" s="106"/>
      <c r="L14" s="89">
        <f t="shared" si="57"/>
        <v>0</v>
      </c>
      <c r="M14" s="145" t="e">
        <f t="shared" ref="M14" si="102">+H14-L14</f>
        <v>#VALUE!</v>
      </c>
      <c r="N14" s="152"/>
      <c r="O14" s="90"/>
      <c r="P14" s="90">
        <f t="shared" ref="P14" si="103">O14+N14</f>
        <v>0</v>
      </c>
      <c r="Q14" s="90">
        <f t="shared" si="23"/>
        <v>0</v>
      </c>
      <c r="R14" s="145">
        <f t="shared" ref="R14" si="104">L14-Q14</f>
        <v>0</v>
      </c>
      <c r="S14" s="157"/>
      <c r="T14" s="91"/>
      <c r="U14" s="90">
        <f t="shared" ref="U14" si="105">T14+S14</f>
        <v>0</v>
      </c>
      <c r="V14" s="91">
        <f t="shared" si="26"/>
        <v>0</v>
      </c>
      <c r="W14" s="145">
        <f t="shared" ref="W14" si="106">L14-V14</f>
        <v>0</v>
      </c>
      <c r="X14" s="157"/>
      <c r="Y14" s="90"/>
      <c r="Z14" s="90">
        <f t="shared" ref="Z14" si="107">Y14+X14</f>
        <v>0</v>
      </c>
      <c r="AA14" s="91">
        <f t="shared" si="29"/>
        <v>0</v>
      </c>
      <c r="AB14" s="145">
        <f t="shared" ref="AB14" si="108">L14-AA14</f>
        <v>0</v>
      </c>
      <c r="AC14" s="157"/>
      <c r="AD14" s="91"/>
      <c r="AE14" s="90">
        <f t="shared" ref="AE14" si="109">AD14+AC14</f>
        <v>0</v>
      </c>
      <c r="AF14" s="91">
        <f t="shared" si="32"/>
        <v>0</v>
      </c>
      <c r="AG14" s="145">
        <f t="shared" ref="AG14" si="110">L14-AF14</f>
        <v>0</v>
      </c>
      <c r="AH14" s="157"/>
      <c r="AI14" s="91"/>
      <c r="AJ14" s="90">
        <f t="shared" ref="AJ14" si="111">AI14+AH14</f>
        <v>0</v>
      </c>
      <c r="AK14" s="91">
        <f t="shared" si="34"/>
        <v>0</v>
      </c>
      <c r="AL14" s="230">
        <f t="shared" ref="AL14" si="112">L14-AK14</f>
        <v>0</v>
      </c>
      <c r="AM14" s="255" t="s">
        <v>99</v>
      </c>
      <c r="AN14" s="256"/>
    </row>
    <row r="15" spans="1:49" s="69" customFormat="1" ht="54.95" customHeight="1" x14ac:dyDescent="0.25">
      <c r="A15" s="72">
        <f t="shared" si="20"/>
        <v>11</v>
      </c>
      <c r="B15" s="87"/>
      <c r="C15" s="85"/>
      <c r="D15" s="190" t="str">
        <f>IFERROR(VLOOKUP(C15,'Customer Data Base'!$B$6:$H$29,COLUMNS('Customer Data Base'!$B$6:$C$6),0),"")</f>
        <v/>
      </c>
      <c r="E15" s="86" t="str">
        <f>IFERROR(VLOOKUP(C15,'Customer Data Base'!$B$6:$H$29,COLUMNS('Customer Data Base'!$B$6:$D$29),0),"")</f>
        <v/>
      </c>
      <c r="F15" s="96" t="str">
        <f>IFERROR(VLOOKUP(C15,'Customer Data Base'!$B$6:$H$29,COLUMNS('Customer Data Base'!$B$6:$E$6),0),"")</f>
        <v/>
      </c>
      <c r="G15" s="86" t="str">
        <f>IFERROR(VLOOKUP(C15,'Customer Data Base'!$B$6:$H$29,COLUMNS('Customer Data Base'!$B$6:$F$6),0),"")</f>
        <v/>
      </c>
      <c r="H15" s="86" t="str">
        <f>IFERROR(VLOOKUP(C15,'Customer Data Base'!$B$6:$H$29,COLUMNS('Customer Data Base'!$B$6:$G$6),0),"")</f>
        <v/>
      </c>
      <c r="I15" s="193" t="s">
        <v>73</v>
      </c>
      <c r="J15" s="108"/>
      <c r="K15" s="106"/>
      <c r="L15" s="89">
        <f t="shared" si="57"/>
        <v>0</v>
      </c>
      <c r="M15" s="145" t="e">
        <f t="shared" ref="M15" si="113">+H15-L15</f>
        <v>#VALUE!</v>
      </c>
      <c r="N15" s="152"/>
      <c r="O15" s="90"/>
      <c r="P15" s="90">
        <f t="shared" ref="P15" si="114">O15+N15</f>
        <v>0</v>
      </c>
      <c r="Q15" s="90">
        <f t="shared" si="23"/>
        <v>0</v>
      </c>
      <c r="R15" s="145">
        <f t="shared" ref="R15" si="115">L15-Q15</f>
        <v>0</v>
      </c>
      <c r="S15" s="157"/>
      <c r="T15" s="91"/>
      <c r="U15" s="90">
        <f t="shared" ref="U15" si="116">T15+S15</f>
        <v>0</v>
      </c>
      <c r="V15" s="91">
        <f t="shared" si="26"/>
        <v>0</v>
      </c>
      <c r="W15" s="145">
        <f t="shared" ref="W15" si="117">L15-V15</f>
        <v>0</v>
      </c>
      <c r="X15" s="157"/>
      <c r="Y15" s="90"/>
      <c r="Z15" s="90">
        <f t="shared" ref="Z15" si="118">Y15+X15</f>
        <v>0</v>
      </c>
      <c r="AA15" s="91">
        <f t="shared" si="29"/>
        <v>0</v>
      </c>
      <c r="AB15" s="145">
        <f t="shared" ref="AB15" si="119">L15-AA15</f>
        <v>0</v>
      </c>
      <c r="AC15" s="157"/>
      <c r="AD15" s="91"/>
      <c r="AE15" s="90">
        <f t="shared" ref="AE15" si="120">AD15+AC15</f>
        <v>0</v>
      </c>
      <c r="AF15" s="91">
        <f t="shared" si="32"/>
        <v>0</v>
      </c>
      <c r="AG15" s="145">
        <f t="shared" ref="AG15" si="121">L15-AF15</f>
        <v>0</v>
      </c>
      <c r="AH15" s="157"/>
      <c r="AI15" s="91"/>
      <c r="AJ15" s="90">
        <f t="shared" ref="AJ15" si="122">AI15+AH15</f>
        <v>0</v>
      </c>
      <c r="AK15" s="91">
        <f t="shared" si="34"/>
        <v>0</v>
      </c>
      <c r="AL15" s="230">
        <f t="shared" ref="AL15" si="123">L15-AK15</f>
        <v>0</v>
      </c>
      <c r="AM15" s="255" t="s">
        <v>99</v>
      </c>
      <c r="AN15" s="256"/>
    </row>
    <row r="16" spans="1:49" s="69" customFormat="1" ht="54.95" customHeight="1" x14ac:dyDescent="0.25">
      <c r="A16" s="72">
        <f t="shared" si="20"/>
        <v>12</v>
      </c>
      <c r="B16" s="87"/>
      <c r="C16" s="85"/>
      <c r="D16" s="190" t="str">
        <f>IFERROR(VLOOKUP(C16,'Customer Data Base'!$B$6:$H$29,COLUMNS('Customer Data Base'!$B$6:$C$6),0),"")</f>
        <v/>
      </c>
      <c r="E16" s="86" t="str">
        <f>IFERROR(VLOOKUP(C16,'Customer Data Base'!$B$6:$H$29,COLUMNS('Customer Data Base'!$B$6:$D$29),0),"")</f>
        <v/>
      </c>
      <c r="F16" s="96" t="str">
        <f>IFERROR(VLOOKUP(C16,'Customer Data Base'!$B$6:$H$29,COLUMNS('Customer Data Base'!$B$6:$E$6),0),"")</f>
        <v/>
      </c>
      <c r="G16" s="86" t="str">
        <f>IFERROR(VLOOKUP(C16,'Customer Data Base'!$B$6:$H$29,COLUMNS('Customer Data Base'!$B$6:$F$6),0),"")</f>
        <v/>
      </c>
      <c r="H16" s="86" t="str">
        <f>IFERROR(VLOOKUP(C16,'Customer Data Base'!$B$6:$H$29,COLUMNS('Customer Data Base'!$B$6:$G$6),0),"")</f>
        <v/>
      </c>
      <c r="I16" s="193" t="s">
        <v>73</v>
      </c>
      <c r="J16" s="108"/>
      <c r="K16" s="106"/>
      <c r="L16" s="89">
        <f t="shared" si="57"/>
        <v>0</v>
      </c>
      <c r="M16" s="145" t="e">
        <f t="shared" ref="M16:M18" si="124">+H16-L16</f>
        <v>#VALUE!</v>
      </c>
      <c r="N16" s="152"/>
      <c r="O16" s="90"/>
      <c r="P16" s="90">
        <f t="shared" ref="P16:P18" si="125">O16+N16</f>
        <v>0</v>
      </c>
      <c r="Q16" s="90">
        <f t="shared" si="23"/>
        <v>0</v>
      </c>
      <c r="R16" s="145">
        <f t="shared" ref="R16:R18" si="126">L16-Q16</f>
        <v>0</v>
      </c>
      <c r="S16" s="157"/>
      <c r="T16" s="91"/>
      <c r="U16" s="90">
        <f t="shared" ref="U16:U18" si="127">T16+S16</f>
        <v>0</v>
      </c>
      <c r="V16" s="91">
        <f t="shared" si="26"/>
        <v>0</v>
      </c>
      <c r="W16" s="145">
        <f t="shared" ref="W16:W18" si="128">L16-V16</f>
        <v>0</v>
      </c>
      <c r="X16" s="157"/>
      <c r="Y16" s="90"/>
      <c r="Z16" s="90">
        <f t="shared" ref="Z16:Z18" si="129">Y16+X16</f>
        <v>0</v>
      </c>
      <c r="AA16" s="91">
        <f t="shared" si="29"/>
        <v>0</v>
      </c>
      <c r="AB16" s="145">
        <f t="shared" ref="AB16:AB18" si="130">L16-AA16</f>
        <v>0</v>
      </c>
      <c r="AC16" s="157"/>
      <c r="AD16" s="91"/>
      <c r="AE16" s="90">
        <f t="shared" ref="AE16:AE18" si="131">AD16+AC16</f>
        <v>0</v>
      </c>
      <c r="AF16" s="91">
        <f t="shared" si="32"/>
        <v>0</v>
      </c>
      <c r="AG16" s="145">
        <f t="shared" ref="AG16:AG18" si="132">L16-AF16</f>
        <v>0</v>
      </c>
      <c r="AH16" s="157"/>
      <c r="AI16" s="91"/>
      <c r="AJ16" s="90">
        <f t="shared" ref="AJ16:AJ18" si="133">AI16+AH16</f>
        <v>0</v>
      </c>
      <c r="AK16" s="91">
        <f t="shared" si="34"/>
        <v>0</v>
      </c>
      <c r="AL16" s="230">
        <f t="shared" ref="AL16:AL18" si="134">L16-AK16</f>
        <v>0</v>
      </c>
      <c r="AM16" s="255" t="s">
        <v>99</v>
      </c>
      <c r="AN16" s="256"/>
    </row>
    <row r="17" spans="1:166" s="69" customFormat="1" ht="54.95" customHeight="1" x14ac:dyDescent="0.25">
      <c r="A17" s="72">
        <f t="shared" si="20"/>
        <v>13</v>
      </c>
      <c r="B17" s="87"/>
      <c r="C17" s="85"/>
      <c r="D17" s="190" t="str">
        <f>IFERROR(VLOOKUP(C17,'Customer Data Base'!$B$6:$H$29,COLUMNS('Customer Data Base'!$B$6:$C$6),0),"")</f>
        <v/>
      </c>
      <c r="E17" s="86" t="str">
        <f>IFERROR(VLOOKUP(C17,'Customer Data Base'!$B$6:$H$29,COLUMNS('Customer Data Base'!$B$6:$D$29),0),"")</f>
        <v/>
      </c>
      <c r="F17" s="96" t="str">
        <f>IFERROR(VLOOKUP(C17,'Customer Data Base'!$B$6:$H$29,COLUMNS('Customer Data Base'!$B$6:$E$6),0),"")</f>
        <v/>
      </c>
      <c r="G17" s="86" t="str">
        <f>IFERROR(VLOOKUP(C17,'Customer Data Base'!$B$6:$H$29,COLUMNS('Customer Data Base'!$B$6:$F$6),0),"")</f>
        <v/>
      </c>
      <c r="H17" s="86" t="str">
        <f>IFERROR(VLOOKUP(C17,'Customer Data Base'!$B$6:$H$29,COLUMNS('Customer Data Base'!$B$6:$G$6),0),"")</f>
        <v/>
      </c>
      <c r="I17" s="193" t="s">
        <v>73</v>
      </c>
      <c r="J17" s="108"/>
      <c r="K17" s="106"/>
      <c r="L17" s="89">
        <f t="shared" si="57"/>
        <v>0</v>
      </c>
      <c r="M17" s="145" t="e">
        <f t="shared" si="124"/>
        <v>#VALUE!</v>
      </c>
      <c r="N17" s="152"/>
      <c r="O17" s="90"/>
      <c r="P17" s="90">
        <f t="shared" si="125"/>
        <v>0</v>
      </c>
      <c r="Q17" s="90">
        <f t="shared" si="23"/>
        <v>0</v>
      </c>
      <c r="R17" s="145">
        <f t="shared" si="126"/>
        <v>0</v>
      </c>
      <c r="S17" s="157"/>
      <c r="T17" s="91"/>
      <c r="U17" s="90">
        <f t="shared" si="127"/>
        <v>0</v>
      </c>
      <c r="V17" s="91">
        <f t="shared" si="26"/>
        <v>0</v>
      </c>
      <c r="W17" s="145">
        <f t="shared" si="128"/>
        <v>0</v>
      </c>
      <c r="X17" s="157"/>
      <c r="Y17" s="90"/>
      <c r="Z17" s="90">
        <f t="shared" si="129"/>
        <v>0</v>
      </c>
      <c r="AA17" s="91">
        <f t="shared" si="29"/>
        <v>0</v>
      </c>
      <c r="AB17" s="145">
        <f t="shared" si="130"/>
        <v>0</v>
      </c>
      <c r="AC17" s="157"/>
      <c r="AD17" s="91"/>
      <c r="AE17" s="90">
        <f t="shared" si="131"/>
        <v>0</v>
      </c>
      <c r="AF17" s="91">
        <f t="shared" si="32"/>
        <v>0</v>
      </c>
      <c r="AG17" s="145">
        <f t="shared" si="132"/>
        <v>0</v>
      </c>
      <c r="AH17" s="157"/>
      <c r="AI17" s="91"/>
      <c r="AJ17" s="90">
        <f t="shared" si="133"/>
        <v>0</v>
      </c>
      <c r="AK17" s="91">
        <f t="shared" si="34"/>
        <v>0</v>
      </c>
      <c r="AL17" s="230">
        <f t="shared" si="134"/>
        <v>0</v>
      </c>
      <c r="AM17" s="255" t="s">
        <v>99</v>
      </c>
      <c r="AN17" s="256"/>
    </row>
    <row r="18" spans="1:166" s="69" customFormat="1" ht="54.95" customHeight="1" x14ac:dyDescent="0.25">
      <c r="A18" s="72">
        <f t="shared" si="20"/>
        <v>14</v>
      </c>
      <c r="B18" s="87"/>
      <c r="C18" s="85"/>
      <c r="D18" s="190" t="str">
        <f>IFERROR(VLOOKUP(C18,'Customer Data Base'!$B$6:$H$29,COLUMNS('Customer Data Base'!$B$6:$C$6),0),"")</f>
        <v/>
      </c>
      <c r="E18" s="86" t="str">
        <f>IFERROR(VLOOKUP(C18,'Customer Data Base'!$B$6:$H$29,COLUMNS('Customer Data Base'!$B$6:$D$29),0),"")</f>
        <v/>
      </c>
      <c r="F18" s="96" t="str">
        <f>IFERROR(VLOOKUP(C18,'Customer Data Base'!$B$6:$H$29,COLUMNS('Customer Data Base'!$B$6:$E$6),0),"")</f>
        <v/>
      </c>
      <c r="G18" s="86" t="str">
        <f>IFERROR(VLOOKUP(C18,'Customer Data Base'!$B$6:$H$29,COLUMNS('Customer Data Base'!$B$6:$F$6),0),"")</f>
        <v/>
      </c>
      <c r="H18" s="86" t="str">
        <f>IFERROR(VLOOKUP(C18,'Customer Data Base'!$B$6:$H$29,COLUMNS('Customer Data Base'!$B$6:$G$6),0),"")</f>
        <v/>
      </c>
      <c r="I18" s="193" t="s">
        <v>73</v>
      </c>
      <c r="J18" s="108"/>
      <c r="K18" s="106"/>
      <c r="L18" s="89">
        <f t="shared" si="57"/>
        <v>0</v>
      </c>
      <c r="M18" s="145" t="e">
        <f t="shared" si="124"/>
        <v>#VALUE!</v>
      </c>
      <c r="N18" s="152"/>
      <c r="O18" s="90"/>
      <c r="P18" s="90">
        <f t="shared" si="125"/>
        <v>0</v>
      </c>
      <c r="Q18" s="90">
        <f t="shared" si="23"/>
        <v>0</v>
      </c>
      <c r="R18" s="145">
        <f t="shared" si="126"/>
        <v>0</v>
      </c>
      <c r="S18" s="157"/>
      <c r="T18" s="91"/>
      <c r="U18" s="90">
        <f t="shared" si="127"/>
        <v>0</v>
      </c>
      <c r="V18" s="91">
        <f t="shared" si="26"/>
        <v>0</v>
      </c>
      <c r="W18" s="145">
        <f t="shared" si="128"/>
        <v>0</v>
      </c>
      <c r="X18" s="157"/>
      <c r="Y18" s="90"/>
      <c r="Z18" s="90">
        <f t="shared" si="129"/>
        <v>0</v>
      </c>
      <c r="AA18" s="91">
        <f t="shared" si="29"/>
        <v>0</v>
      </c>
      <c r="AB18" s="145">
        <f t="shared" si="130"/>
        <v>0</v>
      </c>
      <c r="AC18" s="157"/>
      <c r="AD18" s="91"/>
      <c r="AE18" s="90">
        <f t="shared" si="131"/>
        <v>0</v>
      </c>
      <c r="AF18" s="91">
        <f t="shared" si="32"/>
        <v>0</v>
      </c>
      <c r="AG18" s="145">
        <f t="shared" si="132"/>
        <v>0</v>
      </c>
      <c r="AH18" s="157"/>
      <c r="AI18" s="91"/>
      <c r="AJ18" s="90">
        <f t="shared" si="133"/>
        <v>0</v>
      </c>
      <c r="AK18" s="91">
        <f t="shared" si="34"/>
        <v>0</v>
      </c>
      <c r="AL18" s="230">
        <f t="shared" si="134"/>
        <v>0</v>
      </c>
      <c r="AM18" s="255" t="s">
        <v>99</v>
      </c>
      <c r="AN18" s="256"/>
    </row>
    <row r="19" spans="1:166" s="69" customFormat="1" ht="54.95" customHeight="1" thickBot="1" x14ac:dyDescent="0.3">
      <c r="A19" s="72">
        <f t="shared" si="20"/>
        <v>15</v>
      </c>
      <c r="B19" s="87"/>
      <c r="C19" s="189"/>
      <c r="D19" s="190" t="str">
        <f>IFERROR(VLOOKUP(C19,'Customer Data Base'!$B$6:$H$29,COLUMNS('Customer Data Base'!$B$6:$C$6),0),"")</f>
        <v/>
      </c>
      <c r="E19" s="86" t="str">
        <f>IFERROR(VLOOKUP(C19,'Customer Data Base'!$B$6:$H$29,COLUMNS('Customer Data Base'!$B$6:$D$29),0),"")</f>
        <v/>
      </c>
      <c r="F19" s="96" t="str">
        <f>IFERROR(VLOOKUP(C19,'Customer Data Base'!$B$6:$H$29,COLUMNS('Customer Data Base'!$B$6:$E$6),0),"")</f>
        <v/>
      </c>
      <c r="G19" s="86" t="str">
        <f>IFERROR(VLOOKUP(C19,'Customer Data Base'!$B$6:$H$29,COLUMNS('Customer Data Base'!$B$6:$F$6),0),"")</f>
        <v/>
      </c>
      <c r="H19" s="86" t="str">
        <f>IFERROR(VLOOKUP(C19,'Customer Data Base'!$B$6:$H$29,COLUMNS('Customer Data Base'!$B$6:$G$6),0),"")</f>
        <v/>
      </c>
      <c r="I19" s="194" t="s">
        <v>73</v>
      </c>
      <c r="J19" s="109"/>
      <c r="K19" s="147"/>
      <c r="L19" s="148">
        <f>+K19</f>
        <v>0</v>
      </c>
      <c r="M19" s="149" t="e">
        <f t="shared" ref="M19" si="135">+H19-L19</f>
        <v>#VALUE!</v>
      </c>
      <c r="N19" s="153"/>
      <c r="O19" s="154"/>
      <c r="P19" s="154">
        <f t="shared" ref="P19" si="136">O19+N19</f>
        <v>0</v>
      </c>
      <c r="Q19" s="154">
        <f>+P19</f>
        <v>0</v>
      </c>
      <c r="R19" s="149">
        <f t="shared" ref="R19" si="137">L19-Q19</f>
        <v>0</v>
      </c>
      <c r="S19" s="158"/>
      <c r="T19" s="159"/>
      <c r="U19" s="154">
        <f t="shared" ref="U19" si="138">T19+S19</f>
        <v>0</v>
      </c>
      <c r="V19" s="159">
        <f>+U19</f>
        <v>0</v>
      </c>
      <c r="W19" s="149">
        <f t="shared" ref="W19" si="139">L19-V19</f>
        <v>0</v>
      </c>
      <c r="X19" s="158"/>
      <c r="Y19" s="154"/>
      <c r="Z19" s="154">
        <f t="shared" ref="Z19" si="140">Y19+X19</f>
        <v>0</v>
      </c>
      <c r="AA19" s="159">
        <f>+Z19</f>
        <v>0</v>
      </c>
      <c r="AB19" s="149">
        <f t="shared" ref="AB19" si="141">L19-AA19</f>
        <v>0</v>
      </c>
      <c r="AC19" s="158"/>
      <c r="AD19" s="159"/>
      <c r="AE19" s="154">
        <f t="shared" ref="AE19" si="142">AD19+AC19</f>
        <v>0</v>
      </c>
      <c r="AF19" s="159">
        <f>+AE19</f>
        <v>0</v>
      </c>
      <c r="AG19" s="149">
        <f t="shared" ref="AG19" si="143">L19-AF19</f>
        <v>0</v>
      </c>
      <c r="AH19" s="158"/>
      <c r="AI19" s="159"/>
      <c r="AJ19" s="154">
        <f t="shared" ref="AJ19" si="144">AI19+AH19</f>
        <v>0</v>
      </c>
      <c r="AK19" s="159">
        <f>+AJ19</f>
        <v>0</v>
      </c>
      <c r="AL19" s="231">
        <f t="shared" ref="AL19" si="145">L19-AK19</f>
        <v>0</v>
      </c>
      <c r="AM19" s="255" t="s">
        <v>99</v>
      </c>
      <c r="AN19" s="256"/>
    </row>
    <row r="20" spans="1:166" s="71" customFormat="1" ht="60" customHeight="1" thickTop="1" thickBot="1" x14ac:dyDescent="0.3">
      <c r="A20" s="88"/>
      <c r="B20" s="120"/>
      <c r="C20" s="265" t="s">
        <v>17</v>
      </c>
      <c r="D20" s="266"/>
      <c r="E20" s="267"/>
      <c r="F20" s="267"/>
      <c r="G20" s="268"/>
      <c r="H20" s="121">
        <f>SUM(H5:H19)</f>
        <v>7220</v>
      </c>
      <c r="I20" s="269"/>
      <c r="J20" s="270"/>
      <c r="K20" s="92">
        <f t="shared" ref="K20:AL20" si="146">SUM(K5:K19)</f>
        <v>1700</v>
      </c>
      <c r="L20" s="92">
        <f t="shared" si="146"/>
        <v>1700</v>
      </c>
      <c r="M20" s="92" t="e">
        <f t="shared" si="146"/>
        <v>#VALUE!</v>
      </c>
      <c r="N20" s="92">
        <f t="shared" si="146"/>
        <v>100</v>
      </c>
      <c r="O20" s="92">
        <f t="shared" si="146"/>
        <v>120</v>
      </c>
      <c r="P20" s="92">
        <f t="shared" si="146"/>
        <v>220</v>
      </c>
      <c r="Q20" s="92">
        <f t="shared" si="146"/>
        <v>220</v>
      </c>
      <c r="R20" s="92">
        <f t="shared" si="146"/>
        <v>1480</v>
      </c>
      <c r="S20" s="92">
        <f t="shared" si="146"/>
        <v>90</v>
      </c>
      <c r="T20" s="92">
        <f t="shared" si="146"/>
        <v>110</v>
      </c>
      <c r="U20" s="92">
        <f t="shared" si="146"/>
        <v>200</v>
      </c>
      <c r="V20" s="92">
        <f t="shared" si="146"/>
        <v>200</v>
      </c>
      <c r="W20" s="92">
        <f t="shared" si="146"/>
        <v>1500</v>
      </c>
      <c r="X20" s="92">
        <f t="shared" si="146"/>
        <v>85</v>
      </c>
      <c r="Y20" s="92">
        <f t="shared" si="146"/>
        <v>115</v>
      </c>
      <c r="Z20" s="92">
        <f t="shared" si="146"/>
        <v>200</v>
      </c>
      <c r="AA20" s="92">
        <f t="shared" si="146"/>
        <v>200</v>
      </c>
      <c r="AB20" s="92">
        <f t="shared" si="146"/>
        <v>1500</v>
      </c>
      <c r="AC20" s="92">
        <f t="shared" si="146"/>
        <v>85</v>
      </c>
      <c r="AD20" s="92">
        <f t="shared" si="146"/>
        <v>110</v>
      </c>
      <c r="AE20" s="92">
        <f t="shared" si="146"/>
        <v>195</v>
      </c>
      <c r="AF20" s="92">
        <f t="shared" si="146"/>
        <v>195</v>
      </c>
      <c r="AG20" s="92">
        <f t="shared" si="146"/>
        <v>1505</v>
      </c>
      <c r="AH20" s="92">
        <f t="shared" si="146"/>
        <v>60</v>
      </c>
      <c r="AI20" s="92">
        <f t="shared" si="146"/>
        <v>80</v>
      </c>
      <c r="AJ20" s="92">
        <f t="shared" si="146"/>
        <v>140</v>
      </c>
      <c r="AK20" s="92">
        <f t="shared" si="146"/>
        <v>140</v>
      </c>
      <c r="AL20" s="92">
        <f t="shared" si="146"/>
        <v>1560</v>
      </c>
      <c r="AM20" s="257"/>
      <c r="AN20" s="258"/>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row>
    <row r="21" spans="1:166" ht="30" customHeight="1" x14ac:dyDescent="0.2">
      <c r="E21" s="31"/>
      <c r="F21" s="31"/>
      <c r="G21" s="31"/>
      <c r="H21" s="30"/>
      <c r="I21" s="30"/>
      <c r="J21" s="30"/>
      <c r="K21" s="30"/>
      <c r="L21" s="30"/>
      <c r="M21" s="30"/>
      <c r="N21" s="30"/>
      <c r="O21" s="30"/>
      <c r="P21" s="30"/>
      <c r="Q21" s="30"/>
      <c r="R21" s="30"/>
      <c r="S21" s="30"/>
      <c r="T21" s="30"/>
      <c r="U21" s="30"/>
      <c r="V21" s="30"/>
      <c r="W21" s="30"/>
      <c r="X21" s="30"/>
      <c r="Y21" s="30"/>
      <c r="Z21" s="30"/>
      <c r="AA21" s="30"/>
      <c r="AB21" s="30"/>
      <c r="AC21" s="30"/>
      <c r="AD21" s="30"/>
      <c r="AE21" s="30"/>
      <c r="AG21" s="16"/>
      <c r="AL21" s="16"/>
    </row>
    <row r="22" spans="1:166" ht="21.75" customHeight="1" x14ac:dyDescent="0.35">
      <c r="E22" s="33"/>
      <c r="F22" s="21"/>
      <c r="G22" s="263"/>
      <c r="H22" s="263"/>
      <c r="I22" s="263"/>
      <c r="J22" s="263"/>
      <c r="K22" s="263"/>
      <c r="L22" s="263"/>
      <c r="M22" s="263"/>
      <c r="N22" s="263"/>
      <c r="O22" s="263"/>
      <c r="P22" s="263"/>
      <c r="Q22" s="263"/>
      <c r="R22" s="263"/>
      <c r="S22" s="263"/>
      <c r="T22" s="263"/>
      <c r="U22" s="263"/>
      <c r="V22" s="263"/>
      <c r="W22" s="263"/>
      <c r="X22" s="263"/>
      <c r="Y22" s="263"/>
      <c r="Z22" s="263"/>
      <c r="AA22" s="3"/>
      <c r="AB22" s="3"/>
      <c r="AC22" s="32"/>
      <c r="AD22" s="32"/>
      <c r="AE22" s="19"/>
    </row>
    <row r="23" spans="1:166" ht="15" customHeight="1" x14ac:dyDescent="0.35">
      <c r="E23" s="34"/>
      <c r="F23" s="5"/>
      <c r="G23" s="5"/>
      <c r="H23" s="5"/>
      <c r="I23" s="5"/>
      <c r="J23" s="6"/>
      <c r="K23" s="6"/>
      <c r="L23" s="7"/>
      <c r="M23" s="7"/>
      <c r="N23" s="4"/>
      <c r="O23" s="4"/>
      <c r="P23" s="4"/>
      <c r="Q23" s="4"/>
      <c r="R23" s="4"/>
      <c r="S23" s="4"/>
      <c r="T23" s="4"/>
      <c r="U23" s="4"/>
      <c r="V23" s="4"/>
      <c r="W23" s="4"/>
      <c r="X23" s="4"/>
      <c r="Y23" s="4"/>
      <c r="Z23" s="4"/>
      <c r="AA23" s="4"/>
      <c r="AB23" s="4"/>
      <c r="AC23" s="4"/>
      <c r="AD23" s="4"/>
      <c r="AE23" s="4"/>
    </row>
    <row r="24" spans="1:166" x14ac:dyDescent="0.2">
      <c r="G24" s="57"/>
    </row>
  </sheetData>
  <autoFilter ref="A4:AM20">
    <filterColumn colId="38" showButton="0"/>
  </autoFilter>
  <sortState ref="A5:AQ14">
    <sortCondition ref="A5"/>
  </sortState>
  <mergeCells count="30">
    <mergeCell ref="AH2:AK2"/>
    <mergeCell ref="A1:AL1"/>
    <mergeCell ref="G22:Z22"/>
    <mergeCell ref="H2:I2"/>
    <mergeCell ref="C20:G20"/>
    <mergeCell ref="I20:J20"/>
    <mergeCell ref="X3:AB3"/>
    <mergeCell ref="I3:M3"/>
    <mergeCell ref="A3:H3"/>
    <mergeCell ref="N3:R3"/>
    <mergeCell ref="AH3:AL3"/>
    <mergeCell ref="AC3:AG3"/>
    <mergeCell ref="S3:W3"/>
    <mergeCell ref="AM4:AN4"/>
    <mergeCell ref="AM5:AN5"/>
    <mergeCell ref="AM6:AN6"/>
    <mergeCell ref="AM7:AN7"/>
    <mergeCell ref="AM8:AN8"/>
    <mergeCell ref="AM9:AN9"/>
    <mergeCell ref="AM10:AN10"/>
    <mergeCell ref="AM11:AN11"/>
    <mergeCell ref="AM12:AN12"/>
    <mergeCell ref="AM13:AN13"/>
    <mergeCell ref="AM19:AN19"/>
    <mergeCell ref="AM20:AN20"/>
    <mergeCell ref="AM14:AN14"/>
    <mergeCell ref="AM15:AN15"/>
    <mergeCell ref="AM16:AN16"/>
    <mergeCell ref="AM17:AN17"/>
    <mergeCell ref="AM18:AN18"/>
  </mergeCells>
  <phoneticPr fontId="0" type="noConversion"/>
  <dataValidations count="1">
    <dataValidation type="list" allowBlank="1" showInputMessage="1" showErrorMessage="1" sqref="AM5:AM19">
      <formula1>Status</formula1>
    </dataValidation>
  </dataValidations>
  <printOptions horizontalCentered="1"/>
  <pageMargins left="0.2" right="0.19" top="0.8" bottom="0" header="0.31" footer="0"/>
  <pageSetup paperSize="9"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U52"/>
  <sheetViews>
    <sheetView showGridLines="0" tabSelected="1" zoomScale="70" zoomScaleNormal="70" zoomScaleSheetLayoutView="100" workbookViewId="0">
      <pane xSplit="3" ySplit="4" topLeftCell="D5" activePane="bottomRight" state="frozen"/>
      <selection activeCell="C14" sqref="C14:E14"/>
      <selection pane="topRight" activeCell="C14" sqref="C14:E14"/>
      <selection pane="bottomLeft" activeCell="C14" sqref="C14:E14"/>
      <selection pane="bottomRight" activeCell="Z3" sqref="Z3"/>
    </sheetView>
  </sheetViews>
  <sheetFormatPr defaultRowHeight="12.75" x14ac:dyDescent="0.2"/>
  <cols>
    <col min="1" max="1" width="0.5703125" customWidth="1"/>
    <col min="2" max="2" width="13.140625" customWidth="1"/>
    <col min="3" max="3" width="14.5703125" bestFit="1" customWidth="1"/>
    <col min="4" max="6" width="13.140625" customWidth="1"/>
    <col min="7" max="7" width="14.140625" customWidth="1"/>
    <col min="8" max="13" width="13.140625" customWidth="1"/>
    <col min="14" max="14" width="13.140625" hidden="1" customWidth="1"/>
    <col min="15" max="15" width="18.140625" hidden="1" customWidth="1"/>
    <col min="16" max="16" width="13.140625" hidden="1" customWidth="1"/>
  </cols>
  <sheetData>
    <row r="1" spans="1:20" ht="33" x14ac:dyDescent="0.2">
      <c r="B1" s="299" t="s">
        <v>112</v>
      </c>
      <c r="C1" s="299"/>
      <c r="D1" s="299"/>
      <c r="E1" s="299"/>
      <c r="F1" s="299"/>
      <c r="G1" s="299"/>
      <c r="H1" s="299"/>
      <c r="I1" s="299"/>
      <c r="J1" s="299"/>
      <c r="K1" s="299"/>
      <c r="L1" s="299"/>
      <c r="M1" s="299"/>
      <c r="N1" s="299"/>
      <c r="O1" s="299"/>
      <c r="P1" s="299"/>
    </row>
    <row r="2" spans="1:20" ht="31.5" customHeight="1" thickBot="1" x14ac:dyDescent="0.35">
      <c r="B2" s="300"/>
      <c r="C2" s="300"/>
      <c r="D2" s="56"/>
      <c r="E2" s="56"/>
      <c r="F2" s="56"/>
      <c r="G2" s="56"/>
      <c r="H2" s="56"/>
      <c r="I2" s="56"/>
      <c r="J2" s="56"/>
      <c r="K2" s="56"/>
      <c r="L2" s="56"/>
      <c r="N2" s="56"/>
      <c r="O2" s="56"/>
      <c r="P2" s="56"/>
    </row>
    <row r="3" spans="1:20" ht="51.75" customHeight="1" x14ac:dyDescent="0.2">
      <c r="A3" s="16"/>
      <c r="B3" s="301" t="s">
        <v>1</v>
      </c>
      <c r="C3" s="303" t="s">
        <v>18</v>
      </c>
      <c r="D3" s="305" t="s">
        <v>75</v>
      </c>
      <c r="E3" s="305"/>
      <c r="F3" s="306"/>
      <c r="G3" s="307" t="s">
        <v>68</v>
      </c>
      <c r="H3" s="309" t="s">
        <v>69</v>
      </c>
      <c r="I3" s="309" t="s">
        <v>70</v>
      </c>
      <c r="J3" s="309" t="s">
        <v>71</v>
      </c>
      <c r="K3" s="309" t="s">
        <v>74</v>
      </c>
      <c r="L3" s="312" t="s">
        <v>4</v>
      </c>
      <c r="M3" s="314"/>
      <c r="N3" s="315" t="s">
        <v>44</v>
      </c>
      <c r="O3" s="305"/>
      <c r="P3" s="306"/>
      <c r="R3" s="17"/>
    </row>
    <row r="4" spans="1:20" ht="42.75" customHeight="1" thickBot="1" x14ac:dyDescent="0.25">
      <c r="A4" s="16"/>
      <c r="B4" s="302"/>
      <c r="C4" s="304"/>
      <c r="D4" s="166" t="s">
        <v>75</v>
      </c>
      <c r="E4" s="167" t="s">
        <v>76</v>
      </c>
      <c r="F4" s="168" t="s">
        <v>17</v>
      </c>
      <c r="G4" s="308"/>
      <c r="H4" s="310"/>
      <c r="I4" s="310"/>
      <c r="J4" s="311"/>
      <c r="K4" s="310"/>
      <c r="L4" s="313"/>
      <c r="M4" s="314"/>
      <c r="N4" s="60" t="s">
        <v>43</v>
      </c>
      <c r="O4" s="58" t="s">
        <v>45</v>
      </c>
      <c r="P4" s="59" t="s">
        <v>17</v>
      </c>
    </row>
    <row r="5" spans="1:20" ht="30.75" customHeight="1" x14ac:dyDescent="0.2">
      <c r="A5" s="16"/>
      <c r="B5" s="179">
        <v>1</v>
      </c>
      <c r="C5" s="141">
        <v>42736</v>
      </c>
      <c r="D5" s="180"/>
      <c r="E5" s="181"/>
      <c r="F5" s="182"/>
      <c r="G5" s="183"/>
      <c r="H5" s="184"/>
      <c r="I5" s="184"/>
      <c r="J5" s="184"/>
      <c r="K5" s="184"/>
      <c r="L5" s="185"/>
      <c r="N5" s="64"/>
      <c r="O5" s="64">
        <f>'Daily Report'!AG20-'Date wise Pro. Status'!N5</f>
        <v>1505</v>
      </c>
      <c r="P5" s="65">
        <f>O5+N5</f>
        <v>1505</v>
      </c>
      <c r="Q5" s="95"/>
    </row>
    <row r="6" spans="1:20" s="25" customFormat="1" ht="30.75" customHeight="1" x14ac:dyDescent="0.2">
      <c r="A6" s="26"/>
      <c r="B6" s="135">
        <f>+B5+1</f>
        <v>2</v>
      </c>
      <c r="C6" s="138">
        <f>+C5+1</f>
        <v>42737</v>
      </c>
      <c r="D6" s="160">
        <f>'Daily Report'!L20</f>
        <v>1700</v>
      </c>
      <c r="E6" s="161">
        <v>0</v>
      </c>
      <c r="F6" s="162">
        <f t="shared" ref="F6" si="0">E6+D6</f>
        <v>1700</v>
      </c>
      <c r="G6" s="163">
        <f>'Daily Report'!P20</f>
        <v>220</v>
      </c>
      <c r="H6" s="164">
        <f>'Daily Report'!U20</f>
        <v>200</v>
      </c>
      <c r="I6" s="164">
        <f>'Daily Report'!Z20</f>
        <v>200</v>
      </c>
      <c r="J6" s="164">
        <f>'Daily Report'!AE20</f>
        <v>195</v>
      </c>
      <c r="K6" s="164">
        <f>'Daily Report'!AJ20</f>
        <v>140</v>
      </c>
      <c r="L6" s="165">
        <v>0</v>
      </c>
      <c r="M6"/>
      <c r="N6" s="64"/>
      <c r="O6" s="64"/>
      <c r="P6" s="65"/>
    </row>
    <row r="7" spans="1:20" ht="30.75" customHeight="1" x14ac:dyDescent="0.2">
      <c r="A7" s="16"/>
      <c r="B7" s="135">
        <f t="shared" ref="B7:B19" si="1">B6+1</f>
        <v>3</v>
      </c>
      <c r="C7" s="138">
        <f t="shared" ref="C7:C28" si="2">C6+1</f>
        <v>42738</v>
      </c>
      <c r="D7" s="137"/>
      <c r="E7" s="61"/>
      <c r="F7" s="62"/>
      <c r="G7" s="63"/>
      <c r="H7" s="63"/>
      <c r="I7" s="63"/>
      <c r="J7" s="63"/>
      <c r="K7" s="63"/>
      <c r="L7" s="65"/>
      <c r="N7" s="64"/>
      <c r="O7" s="64"/>
      <c r="P7" s="65"/>
    </row>
    <row r="8" spans="1:20" ht="30.75" customHeight="1" x14ac:dyDescent="0.2">
      <c r="A8" s="16"/>
      <c r="B8" s="135">
        <f t="shared" si="1"/>
        <v>4</v>
      </c>
      <c r="C8" s="138">
        <f t="shared" si="2"/>
        <v>42739</v>
      </c>
      <c r="D8" s="137"/>
      <c r="E8" s="61"/>
      <c r="F8" s="62"/>
      <c r="G8" s="63"/>
      <c r="H8" s="63"/>
      <c r="I8" s="63"/>
      <c r="J8" s="63"/>
      <c r="K8" s="63"/>
      <c r="L8" s="65"/>
      <c r="N8" s="64"/>
      <c r="O8" s="64"/>
      <c r="P8" s="65"/>
    </row>
    <row r="9" spans="1:20" ht="30.75" customHeight="1" x14ac:dyDescent="0.2">
      <c r="A9" s="16"/>
      <c r="B9" s="136">
        <f>B8+1</f>
        <v>5</v>
      </c>
      <c r="C9" s="138">
        <f t="shared" si="2"/>
        <v>42740</v>
      </c>
      <c r="D9" s="137"/>
      <c r="E9" s="61"/>
      <c r="F9" s="62"/>
      <c r="G9" s="63"/>
      <c r="H9" s="63"/>
      <c r="I9" s="63"/>
      <c r="J9" s="63"/>
      <c r="K9" s="63"/>
      <c r="L9" s="65"/>
      <c r="N9" s="64"/>
      <c r="O9" s="64"/>
      <c r="P9" s="65"/>
    </row>
    <row r="10" spans="1:20" s="25" customFormat="1" ht="30.75" customHeight="1" x14ac:dyDescent="0.2">
      <c r="A10" s="16"/>
      <c r="B10" s="173">
        <f>B9+1</f>
        <v>6</v>
      </c>
      <c r="C10" s="178">
        <f>C9+1</f>
        <v>42741</v>
      </c>
      <c r="D10" s="176"/>
      <c r="E10" s="169"/>
      <c r="F10" s="170"/>
      <c r="G10" s="171"/>
      <c r="H10" s="171"/>
      <c r="I10" s="171"/>
      <c r="J10" s="171"/>
      <c r="K10" s="171"/>
      <c r="L10" s="172"/>
      <c r="M10"/>
      <c r="N10" s="102"/>
      <c r="O10" s="102"/>
      <c r="P10" s="103"/>
    </row>
    <row r="11" spans="1:20" ht="30.75" customHeight="1" x14ac:dyDescent="0.2">
      <c r="A11" s="16"/>
      <c r="B11" s="135">
        <f t="shared" si="1"/>
        <v>7</v>
      </c>
      <c r="C11" s="138">
        <f t="shared" si="2"/>
        <v>42742</v>
      </c>
      <c r="D11" s="137"/>
      <c r="E11" s="61"/>
      <c r="F11" s="62"/>
      <c r="G11" s="63"/>
      <c r="H11" s="63"/>
      <c r="I11" s="63"/>
      <c r="J11" s="63"/>
      <c r="K11" s="63"/>
      <c r="L11" s="65"/>
      <c r="N11" s="64"/>
      <c r="O11" s="64"/>
      <c r="P11" s="65"/>
    </row>
    <row r="12" spans="1:20" ht="30.75" customHeight="1" x14ac:dyDescent="0.2">
      <c r="A12" s="16"/>
      <c r="B12" s="140">
        <f>B11+1</f>
        <v>8</v>
      </c>
      <c r="C12" s="175">
        <f>C11+1</f>
        <v>42743</v>
      </c>
      <c r="D12" s="177"/>
      <c r="E12" s="99"/>
      <c r="F12" s="100"/>
      <c r="G12" s="174"/>
      <c r="H12" s="101"/>
      <c r="I12" s="101"/>
      <c r="J12" s="101"/>
      <c r="K12" s="101"/>
      <c r="L12" s="103"/>
      <c r="N12" s="64"/>
      <c r="O12" s="64"/>
      <c r="P12" s="65"/>
    </row>
    <row r="13" spans="1:20" ht="30.75" customHeight="1" x14ac:dyDescent="0.2">
      <c r="A13" s="16"/>
      <c r="B13" s="135">
        <f t="shared" ref="B13:B16" si="3">B12+1</f>
        <v>9</v>
      </c>
      <c r="C13" s="138">
        <f t="shared" si="2"/>
        <v>42744</v>
      </c>
      <c r="D13" s="137"/>
      <c r="E13" s="61"/>
      <c r="F13" s="62"/>
      <c r="G13" s="104"/>
      <c r="H13" s="63"/>
      <c r="I13" s="63"/>
      <c r="J13" s="63"/>
      <c r="K13" s="63"/>
      <c r="L13" s="65"/>
      <c r="N13" s="64"/>
      <c r="O13" s="64"/>
      <c r="P13" s="65"/>
    </row>
    <row r="14" spans="1:20" ht="30.75" customHeight="1" x14ac:dyDescent="0.2">
      <c r="A14" s="16"/>
      <c r="B14" s="135">
        <f t="shared" si="3"/>
        <v>10</v>
      </c>
      <c r="C14" s="138">
        <f t="shared" si="2"/>
        <v>42745</v>
      </c>
      <c r="D14" s="137"/>
      <c r="E14" s="61"/>
      <c r="F14" s="62"/>
      <c r="G14" s="104"/>
      <c r="H14" s="63"/>
      <c r="I14" s="63"/>
      <c r="J14" s="63"/>
      <c r="K14" s="63"/>
      <c r="L14" s="65"/>
      <c r="N14" s="64"/>
      <c r="O14" s="64"/>
      <c r="P14" s="65"/>
      <c r="S14" s="18"/>
      <c r="T14" s="16"/>
    </row>
    <row r="15" spans="1:20" ht="30.75" customHeight="1" x14ac:dyDescent="0.2">
      <c r="A15" s="16"/>
      <c r="B15" s="135">
        <f t="shared" si="3"/>
        <v>11</v>
      </c>
      <c r="C15" s="138">
        <f t="shared" si="2"/>
        <v>42746</v>
      </c>
      <c r="D15" s="137"/>
      <c r="E15" s="61"/>
      <c r="F15" s="62"/>
      <c r="G15" s="104"/>
      <c r="H15" s="63"/>
      <c r="I15" s="63"/>
      <c r="J15" s="63"/>
      <c r="K15" s="63"/>
      <c r="L15" s="65"/>
      <c r="N15" s="64"/>
      <c r="O15" s="64"/>
      <c r="P15" s="65"/>
      <c r="S15" s="18"/>
      <c r="T15" s="16"/>
    </row>
    <row r="16" spans="1:20" ht="30.75" customHeight="1" x14ac:dyDescent="0.2">
      <c r="A16" s="16"/>
      <c r="B16" s="135">
        <f t="shared" si="3"/>
        <v>12</v>
      </c>
      <c r="C16" s="138">
        <f t="shared" si="2"/>
        <v>42747</v>
      </c>
      <c r="D16" s="137"/>
      <c r="E16" s="61"/>
      <c r="F16" s="62"/>
      <c r="G16" s="104"/>
      <c r="H16" s="63"/>
      <c r="I16" s="63"/>
      <c r="J16" s="63"/>
      <c r="K16" s="63"/>
      <c r="L16" s="65"/>
      <c r="N16" s="64"/>
      <c r="O16" s="64"/>
      <c r="P16" s="65"/>
    </row>
    <row r="17" spans="1:19" s="25" customFormat="1" ht="30.75" customHeight="1" x14ac:dyDescent="0.2">
      <c r="A17" s="26"/>
      <c r="B17" s="173">
        <f>B16+1</f>
        <v>13</v>
      </c>
      <c r="C17" s="178">
        <f>C16+1</f>
        <v>42748</v>
      </c>
      <c r="D17" s="176"/>
      <c r="E17" s="169"/>
      <c r="F17" s="170"/>
      <c r="G17" s="171"/>
      <c r="H17" s="171"/>
      <c r="I17" s="171"/>
      <c r="J17" s="171"/>
      <c r="K17" s="171"/>
      <c r="L17" s="172"/>
      <c r="M17"/>
      <c r="N17" s="102"/>
      <c r="O17" s="102"/>
      <c r="P17" s="103"/>
      <c r="Q17"/>
    </row>
    <row r="18" spans="1:19" ht="30.75" customHeight="1" x14ac:dyDescent="0.2">
      <c r="A18" s="16"/>
      <c r="B18" s="135">
        <f>B17+1</f>
        <v>14</v>
      </c>
      <c r="C18" s="138">
        <f>C17+1</f>
        <v>42749</v>
      </c>
      <c r="D18" s="137"/>
      <c r="E18" s="61"/>
      <c r="F18" s="62"/>
      <c r="G18" s="104"/>
      <c r="H18" s="63"/>
      <c r="I18" s="63"/>
      <c r="J18" s="63"/>
      <c r="K18" s="63"/>
      <c r="L18" s="65"/>
      <c r="N18" s="64"/>
      <c r="O18" s="64"/>
      <c r="P18" s="65"/>
    </row>
    <row r="19" spans="1:19" ht="30.75" customHeight="1" x14ac:dyDescent="0.2">
      <c r="A19" s="16"/>
      <c r="B19" s="140">
        <f t="shared" si="1"/>
        <v>15</v>
      </c>
      <c r="C19" s="175">
        <f t="shared" si="2"/>
        <v>42750</v>
      </c>
      <c r="D19" s="177"/>
      <c r="E19" s="99"/>
      <c r="F19" s="100"/>
      <c r="G19" s="174"/>
      <c r="H19" s="101"/>
      <c r="I19" s="101"/>
      <c r="J19" s="101"/>
      <c r="K19" s="101"/>
      <c r="L19" s="103"/>
      <c r="N19" s="64"/>
      <c r="O19" s="64"/>
      <c r="P19" s="65"/>
    </row>
    <row r="20" spans="1:19" ht="30.75" customHeight="1" x14ac:dyDescent="0.2">
      <c r="A20" s="16"/>
      <c r="B20" s="135">
        <f>B19+1</f>
        <v>16</v>
      </c>
      <c r="C20" s="138">
        <f t="shared" si="2"/>
        <v>42751</v>
      </c>
      <c r="D20" s="137"/>
      <c r="E20" s="61"/>
      <c r="F20" s="62"/>
      <c r="G20" s="104"/>
      <c r="H20" s="63"/>
      <c r="I20" s="63"/>
      <c r="J20" s="63"/>
      <c r="K20" s="63"/>
      <c r="L20" s="65"/>
      <c r="N20" s="64"/>
      <c r="O20" s="64"/>
      <c r="P20" s="65"/>
    </row>
    <row r="21" spans="1:19" ht="30.75" customHeight="1" x14ac:dyDescent="0.2">
      <c r="A21" s="16"/>
      <c r="B21" s="135">
        <f>B20+1</f>
        <v>17</v>
      </c>
      <c r="C21" s="138">
        <f t="shared" si="2"/>
        <v>42752</v>
      </c>
      <c r="D21" s="137"/>
      <c r="E21" s="61"/>
      <c r="F21" s="62"/>
      <c r="G21" s="104"/>
      <c r="H21" s="63"/>
      <c r="I21" s="63"/>
      <c r="J21" s="63"/>
      <c r="K21" s="63"/>
      <c r="L21" s="65"/>
      <c r="N21" s="64"/>
      <c r="O21" s="64"/>
      <c r="P21" s="65"/>
    </row>
    <row r="22" spans="1:19" ht="30.75" customHeight="1" x14ac:dyDescent="0.2">
      <c r="A22" s="16"/>
      <c r="B22" s="135">
        <f>B21+1</f>
        <v>18</v>
      </c>
      <c r="C22" s="138">
        <f t="shared" si="2"/>
        <v>42753</v>
      </c>
      <c r="D22" s="137"/>
      <c r="E22" s="61"/>
      <c r="F22" s="62"/>
      <c r="G22" s="104"/>
      <c r="H22" s="63"/>
      <c r="I22" s="63"/>
      <c r="J22" s="63"/>
      <c r="K22" s="63"/>
      <c r="L22" s="65"/>
      <c r="N22" s="64"/>
      <c r="O22" s="64"/>
      <c r="P22" s="65"/>
    </row>
    <row r="23" spans="1:19" ht="30.75" customHeight="1" x14ac:dyDescent="0.2">
      <c r="A23" s="16"/>
      <c r="B23" s="135">
        <f>B22+1</f>
        <v>19</v>
      </c>
      <c r="C23" s="138">
        <f t="shared" si="2"/>
        <v>42754</v>
      </c>
      <c r="D23" s="137"/>
      <c r="E23" s="61"/>
      <c r="F23" s="62"/>
      <c r="G23" s="104"/>
      <c r="H23" s="63"/>
      <c r="I23" s="63"/>
      <c r="J23" s="63"/>
      <c r="K23" s="63"/>
      <c r="L23" s="65"/>
      <c r="N23" s="64"/>
      <c r="O23" s="64"/>
      <c r="P23" s="65"/>
    </row>
    <row r="24" spans="1:19" ht="30.75" customHeight="1" x14ac:dyDescent="0.2">
      <c r="A24" s="16"/>
      <c r="B24" s="173">
        <f>B23+1</f>
        <v>20</v>
      </c>
      <c r="C24" s="178">
        <f>C23+1</f>
        <v>42755</v>
      </c>
      <c r="D24" s="176"/>
      <c r="E24" s="169"/>
      <c r="F24" s="170"/>
      <c r="G24" s="171"/>
      <c r="H24" s="171"/>
      <c r="I24" s="171"/>
      <c r="J24" s="171"/>
      <c r="K24" s="171"/>
      <c r="L24" s="172"/>
      <c r="N24" s="102"/>
      <c r="O24" s="102"/>
      <c r="P24" s="103"/>
    </row>
    <row r="25" spans="1:19" ht="30.75" customHeight="1" x14ac:dyDescent="0.2">
      <c r="A25" s="16"/>
      <c r="B25" s="135">
        <f t="shared" ref="B25:B26" si="4">B24+1</f>
        <v>21</v>
      </c>
      <c r="C25" s="138">
        <f t="shared" si="2"/>
        <v>42756</v>
      </c>
      <c r="D25" s="137"/>
      <c r="E25" s="61"/>
      <c r="F25" s="62"/>
      <c r="G25" s="104"/>
      <c r="H25" s="63"/>
      <c r="I25" s="63"/>
      <c r="J25" s="63"/>
      <c r="K25" s="63"/>
      <c r="L25" s="65"/>
      <c r="N25" s="64"/>
      <c r="O25" s="64"/>
      <c r="P25" s="65"/>
      <c r="Q25" s="36"/>
      <c r="R25" s="38"/>
      <c r="S25" s="39"/>
    </row>
    <row r="26" spans="1:19" ht="30.75" customHeight="1" x14ac:dyDescent="0.2">
      <c r="A26" s="16"/>
      <c r="B26" s="140">
        <f t="shared" si="4"/>
        <v>22</v>
      </c>
      <c r="C26" s="175">
        <f t="shared" si="2"/>
        <v>42757</v>
      </c>
      <c r="D26" s="177"/>
      <c r="E26" s="99"/>
      <c r="F26" s="100"/>
      <c r="G26" s="174"/>
      <c r="H26" s="101"/>
      <c r="I26" s="101"/>
      <c r="J26" s="101"/>
      <c r="K26" s="101"/>
      <c r="L26" s="103"/>
      <c r="N26" s="64"/>
      <c r="O26" s="64"/>
      <c r="P26" s="65"/>
    </row>
    <row r="27" spans="1:19" s="20" customFormat="1" ht="30.75" customHeight="1" x14ac:dyDescent="0.2">
      <c r="A27" s="16"/>
      <c r="B27" s="135">
        <f>B26+1</f>
        <v>23</v>
      </c>
      <c r="C27" s="138">
        <f t="shared" si="2"/>
        <v>42758</v>
      </c>
      <c r="D27" s="137"/>
      <c r="E27" s="61"/>
      <c r="F27" s="62"/>
      <c r="G27" s="104"/>
      <c r="H27" s="63"/>
      <c r="I27" s="63"/>
      <c r="J27" s="63"/>
      <c r="K27" s="63"/>
      <c r="L27" s="65"/>
      <c r="M27"/>
      <c r="N27" s="64"/>
      <c r="O27" s="64"/>
      <c r="P27" s="65"/>
      <c r="Q27"/>
    </row>
    <row r="28" spans="1:19" s="25" customFormat="1" ht="30.75" customHeight="1" x14ac:dyDescent="0.2">
      <c r="A28" s="26"/>
      <c r="B28" s="135">
        <f>B27+1</f>
        <v>24</v>
      </c>
      <c r="C28" s="138">
        <f t="shared" si="2"/>
        <v>42759</v>
      </c>
      <c r="D28" s="137"/>
      <c r="E28" s="61"/>
      <c r="F28" s="62"/>
      <c r="G28" s="104"/>
      <c r="H28" s="63"/>
      <c r="I28" s="63"/>
      <c r="J28" s="63"/>
      <c r="K28" s="63"/>
      <c r="L28" s="65"/>
      <c r="M28"/>
      <c r="N28" s="64"/>
      <c r="O28" s="64"/>
      <c r="P28" s="65"/>
    </row>
    <row r="29" spans="1:19" s="25" customFormat="1" ht="30.75" customHeight="1" x14ac:dyDescent="0.2">
      <c r="A29" s="26"/>
      <c r="B29" s="135">
        <f>B28+1</f>
        <v>25</v>
      </c>
      <c r="C29" s="138">
        <f>C28+1</f>
        <v>42760</v>
      </c>
      <c r="D29" s="137"/>
      <c r="E29" s="61"/>
      <c r="F29" s="62"/>
      <c r="G29" s="104"/>
      <c r="H29" s="63"/>
      <c r="I29" s="63"/>
      <c r="J29" s="63"/>
      <c r="K29" s="63"/>
      <c r="L29" s="65"/>
      <c r="M29"/>
      <c r="N29" s="64"/>
      <c r="O29" s="64"/>
      <c r="P29" s="65"/>
    </row>
    <row r="30" spans="1:19" s="25" customFormat="1" ht="30.75" customHeight="1" x14ac:dyDescent="0.2">
      <c r="A30" s="26"/>
      <c r="B30" s="135">
        <f t="shared" ref="B30:B34" si="5">B29+1</f>
        <v>26</v>
      </c>
      <c r="C30" s="138">
        <f t="shared" ref="C30:C34" si="6">C29+1</f>
        <v>42761</v>
      </c>
      <c r="D30" s="137"/>
      <c r="E30" s="61"/>
      <c r="F30" s="62"/>
      <c r="G30" s="104"/>
      <c r="H30" s="63"/>
      <c r="I30" s="63"/>
      <c r="J30" s="63"/>
      <c r="K30" s="63"/>
      <c r="L30" s="65"/>
      <c r="M30"/>
      <c r="N30" s="64"/>
      <c r="O30" s="64"/>
      <c r="P30" s="65"/>
    </row>
    <row r="31" spans="1:19" s="25" customFormat="1" ht="30.75" customHeight="1" x14ac:dyDescent="0.2">
      <c r="A31" s="26"/>
      <c r="B31" s="173">
        <f>B30+1</f>
        <v>27</v>
      </c>
      <c r="C31" s="178">
        <f>C30+1</f>
        <v>42762</v>
      </c>
      <c r="D31" s="176"/>
      <c r="E31" s="169"/>
      <c r="F31" s="170"/>
      <c r="G31" s="171"/>
      <c r="H31" s="171"/>
      <c r="I31" s="171"/>
      <c r="J31" s="171"/>
      <c r="K31" s="171"/>
      <c r="L31" s="172"/>
      <c r="M31"/>
      <c r="N31" s="102"/>
      <c r="O31" s="102"/>
      <c r="P31" s="103"/>
    </row>
    <row r="32" spans="1:19" s="25" customFormat="1" ht="30.75" customHeight="1" x14ac:dyDescent="0.2">
      <c r="A32" s="26"/>
      <c r="B32" s="135">
        <f t="shared" si="5"/>
        <v>28</v>
      </c>
      <c r="C32" s="138">
        <f t="shared" si="6"/>
        <v>42763</v>
      </c>
      <c r="D32" s="137"/>
      <c r="E32" s="61"/>
      <c r="F32" s="62"/>
      <c r="G32" s="104"/>
      <c r="H32" s="63"/>
      <c r="I32" s="63"/>
      <c r="J32" s="63"/>
      <c r="K32" s="63"/>
      <c r="L32" s="65"/>
      <c r="M32"/>
      <c r="N32" s="64"/>
      <c r="O32" s="64"/>
      <c r="P32" s="65"/>
    </row>
    <row r="33" spans="1:21" s="25" customFormat="1" ht="30.75" customHeight="1" x14ac:dyDescent="0.2">
      <c r="A33" s="26"/>
      <c r="B33" s="140">
        <f t="shared" si="5"/>
        <v>29</v>
      </c>
      <c r="C33" s="175">
        <f t="shared" si="6"/>
        <v>42764</v>
      </c>
      <c r="D33" s="177"/>
      <c r="E33" s="99"/>
      <c r="F33" s="100"/>
      <c r="G33" s="174"/>
      <c r="H33" s="101"/>
      <c r="I33" s="101"/>
      <c r="J33" s="101"/>
      <c r="K33" s="101"/>
      <c r="L33" s="103"/>
      <c r="M33"/>
      <c r="N33" s="64"/>
      <c r="O33" s="64"/>
      <c r="P33" s="65"/>
    </row>
    <row r="34" spans="1:21" s="25" customFormat="1" ht="30.75" customHeight="1" x14ac:dyDescent="0.2">
      <c r="A34" s="26"/>
      <c r="B34" s="135">
        <f t="shared" si="5"/>
        <v>30</v>
      </c>
      <c r="C34" s="138">
        <f t="shared" si="6"/>
        <v>42765</v>
      </c>
      <c r="D34" s="137"/>
      <c r="E34" s="61"/>
      <c r="F34" s="62"/>
      <c r="G34" s="104"/>
      <c r="H34" s="63"/>
      <c r="I34" s="63"/>
      <c r="J34" s="63"/>
      <c r="K34" s="63"/>
      <c r="L34" s="65"/>
      <c r="M34"/>
      <c r="N34" s="64"/>
      <c r="O34" s="64"/>
      <c r="P34" s="65"/>
    </row>
    <row r="35" spans="1:21" s="25" customFormat="1" ht="30.75" customHeight="1" thickBot="1" x14ac:dyDescent="0.25">
      <c r="A35" s="26"/>
      <c r="B35" s="135">
        <f>B34+1</f>
        <v>31</v>
      </c>
      <c r="C35" s="139">
        <f>C34+1</f>
        <v>42766</v>
      </c>
      <c r="D35" s="137"/>
      <c r="E35" s="61"/>
      <c r="F35" s="62"/>
      <c r="G35" s="63"/>
      <c r="H35" s="63"/>
      <c r="I35" s="63"/>
      <c r="J35" s="63"/>
      <c r="K35" s="63"/>
      <c r="L35" s="65"/>
      <c r="M35"/>
      <c r="N35" s="64"/>
      <c r="O35" s="64"/>
      <c r="P35" s="65"/>
    </row>
    <row r="36" spans="1:21" ht="51" customHeight="1" thickBot="1" x14ac:dyDescent="0.25">
      <c r="B36" s="285" t="s">
        <v>47</v>
      </c>
      <c r="C36" s="286"/>
      <c r="D36" s="93">
        <f>SUM(D5:D35)</f>
        <v>1700</v>
      </c>
      <c r="E36" s="93">
        <f t="shared" ref="E36:L36" si="7">SUM(E5:E35)</f>
        <v>0</v>
      </c>
      <c r="F36" s="93">
        <f t="shared" si="7"/>
        <v>1700</v>
      </c>
      <c r="G36" s="93">
        <f t="shared" si="7"/>
        <v>220</v>
      </c>
      <c r="H36" s="93">
        <f t="shared" si="7"/>
        <v>200</v>
      </c>
      <c r="I36" s="93">
        <f t="shared" si="7"/>
        <v>200</v>
      </c>
      <c r="J36" s="93">
        <f t="shared" si="7"/>
        <v>195</v>
      </c>
      <c r="K36" s="93">
        <f t="shared" si="7"/>
        <v>140</v>
      </c>
      <c r="L36" s="93">
        <f t="shared" si="7"/>
        <v>0</v>
      </c>
      <c r="N36" s="94">
        <f>SUM(N32:N34)</f>
        <v>0</v>
      </c>
      <c r="O36" s="94">
        <f>SUM(O32:O34)</f>
        <v>0</v>
      </c>
      <c r="P36" s="94">
        <f>SUM(P32:P34)</f>
        <v>0</v>
      </c>
      <c r="Q36" s="16"/>
    </row>
    <row r="37" spans="1:21" ht="6.75" customHeight="1" thickBot="1" x14ac:dyDescent="0.25">
      <c r="B37" s="123"/>
      <c r="C37" s="74"/>
      <c r="D37" s="74"/>
      <c r="E37" s="74"/>
      <c r="F37" s="75"/>
      <c r="G37" s="75"/>
      <c r="H37" s="76"/>
      <c r="I37" s="39"/>
      <c r="J37" s="39"/>
      <c r="K37" s="39"/>
      <c r="L37" s="124"/>
      <c r="N37" s="39"/>
      <c r="O37" s="39"/>
      <c r="P37" s="39"/>
      <c r="Q37" s="16"/>
    </row>
    <row r="38" spans="1:21" ht="35.1" customHeight="1" thickTop="1" thickBot="1" x14ac:dyDescent="0.25">
      <c r="B38" s="281" t="s">
        <v>5</v>
      </c>
      <c r="C38" s="282"/>
      <c r="D38" s="48">
        <v>385000</v>
      </c>
      <c r="E38" s="48"/>
      <c r="F38" s="48">
        <v>385000</v>
      </c>
      <c r="G38" s="48">
        <f>F38</f>
        <v>385000</v>
      </c>
      <c r="H38" s="48">
        <f t="shared" ref="H38:K38" si="8">G38</f>
        <v>385000</v>
      </c>
      <c r="I38" s="48">
        <f t="shared" si="8"/>
        <v>385000</v>
      </c>
      <c r="J38" s="48">
        <f t="shared" si="8"/>
        <v>385000</v>
      </c>
      <c r="K38" s="48">
        <f t="shared" si="8"/>
        <v>385000</v>
      </c>
      <c r="L38" s="125">
        <f t="shared" ref="L38" si="9">K38</f>
        <v>385000</v>
      </c>
      <c r="N38" s="42"/>
      <c r="O38" s="42"/>
      <c r="P38" s="42"/>
      <c r="Q38" s="16"/>
    </row>
    <row r="39" spans="1:21" ht="35.1" customHeight="1" thickTop="1" thickBot="1" x14ac:dyDescent="0.25">
      <c r="B39" s="283" t="s">
        <v>2</v>
      </c>
      <c r="C39" s="284"/>
      <c r="D39" s="97">
        <f>+D36</f>
        <v>1700</v>
      </c>
      <c r="E39" s="97">
        <f t="shared" ref="E39:L39" si="10">+E36</f>
        <v>0</v>
      </c>
      <c r="F39" s="97">
        <f t="shared" si="10"/>
        <v>1700</v>
      </c>
      <c r="G39" s="97">
        <f t="shared" si="10"/>
        <v>220</v>
      </c>
      <c r="H39" s="97">
        <f t="shared" si="10"/>
        <v>200</v>
      </c>
      <c r="I39" s="97">
        <f t="shared" si="10"/>
        <v>200</v>
      </c>
      <c r="J39" s="97">
        <f t="shared" si="10"/>
        <v>195</v>
      </c>
      <c r="K39" s="97">
        <f t="shared" si="10"/>
        <v>140</v>
      </c>
      <c r="L39" s="97">
        <f t="shared" si="10"/>
        <v>0</v>
      </c>
    </row>
    <row r="40" spans="1:21" ht="35.1" customHeight="1" thickTop="1" thickBot="1" x14ac:dyDescent="0.25">
      <c r="B40" s="287" t="s">
        <v>9</v>
      </c>
      <c r="C40" s="288"/>
      <c r="D40" s="49">
        <f>COUNTIF(D5:D35, "&gt;=0")</f>
        <v>1</v>
      </c>
      <c r="E40" s="49">
        <f>D40</f>
        <v>1</v>
      </c>
      <c r="F40" s="49">
        <f>E40</f>
        <v>1</v>
      </c>
      <c r="G40" s="49">
        <f>F40</f>
        <v>1</v>
      </c>
      <c r="H40" s="49">
        <f t="shared" ref="H40:K40" si="11">G40</f>
        <v>1</v>
      </c>
      <c r="I40" s="49">
        <f t="shared" si="11"/>
        <v>1</v>
      </c>
      <c r="J40" s="49">
        <f t="shared" si="11"/>
        <v>1</v>
      </c>
      <c r="K40" s="49">
        <f t="shared" si="11"/>
        <v>1</v>
      </c>
      <c r="L40" s="126">
        <f t="shared" ref="L40" si="12">K40</f>
        <v>1</v>
      </c>
      <c r="M40" s="280"/>
      <c r="N40" s="280"/>
      <c r="O40" s="280"/>
      <c r="P40" s="280"/>
      <c r="Q40" s="16"/>
    </row>
    <row r="41" spans="1:21" ht="35.1" customHeight="1" thickTop="1" thickBot="1" x14ac:dyDescent="0.25">
      <c r="B41" s="283" t="s">
        <v>3</v>
      </c>
      <c r="C41" s="284"/>
      <c r="D41" s="50">
        <f>D39/D40</f>
        <v>1700</v>
      </c>
      <c r="E41" s="50">
        <f>E39/E40</f>
        <v>0</v>
      </c>
      <c r="F41" s="50">
        <f>F39/F40</f>
        <v>1700</v>
      </c>
      <c r="G41" s="50">
        <f t="shared" ref="G41:K41" si="13">G39/G40</f>
        <v>220</v>
      </c>
      <c r="H41" s="50">
        <f t="shared" si="13"/>
        <v>200</v>
      </c>
      <c r="I41" s="50">
        <f t="shared" si="13"/>
        <v>200</v>
      </c>
      <c r="J41" s="50">
        <f t="shared" si="13"/>
        <v>195</v>
      </c>
      <c r="K41" s="50">
        <f t="shared" si="13"/>
        <v>140</v>
      </c>
      <c r="L41" s="127">
        <f>L39/L40</f>
        <v>0</v>
      </c>
      <c r="M41" s="44"/>
      <c r="N41" s="44"/>
      <c r="O41" s="44"/>
      <c r="P41" s="44"/>
    </row>
    <row r="42" spans="1:21" ht="8.1" customHeight="1" thickTop="1" thickBot="1" x14ac:dyDescent="0.25">
      <c r="B42" s="128"/>
      <c r="C42" s="55"/>
      <c r="D42" s="51"/>
      <c r="E42" s="51"/>
      <c r="F42" s="51"/>
      <c r="G42" s="52"/>
      <c r="H42" s="52"/>
      <c r="I42" s="52"/>
      <c r="J42" s="52"/>
      <c r="K42" s="52"/>
      <c r="L42" s="129"/>
      <c r="M42" s="45"/>
      <c r="N42" s="45"/>
      <c r="O42" s="45"/>
      <c r="P42" s="45"/>
    </row>
    <row r="43" spans="1:21" ht="35.1" customHeight="1" thickTop="1" thickBot="1" x14ac:dyDescent="0.25">
      <c r="B43" s="291" t="s">
        <v>6</v>
      </c>
      <c r="C43" s="292"/>
      <c r="D43" s="98">
        <f>D39-D38</f>
        <v>-383300</v>
      </c>
      <c r="E43" s="98">
        <f>E39-E38</f>
        <v>0</v>
      </c>
      <c r="F43" s="53">
        <f>F39-F38</f>
        <v>-383300</v>
      </c>
      <c r="G43" s="53">
        <f t="shared" ref="G43:L43" si="14">G39-G38</f>
        <v>-384780</v>
      </c>
      <c r="H43" s="53">
        <f t="shared" si="14"/>
        <v>-384800</v>
      </c>
      <c r="I43" s="53">
        <f t="shared" si="14"/>
        <v>-384800</v>
      </c>
      <c r="J43" s="53">
        <f t="shared" si="14"/>
        <v>-384805</v>
      </c>
      <c r="K43" s="53">
        <f t="shared" si="14"/>
        <v>-384860</v>
      </c>
      <c r="L43" s="130">
        <f t="shared" si="14"/>
        <v>-385000</v>
      </c>
      <c r="M43" s="43"/>
      <c r="N43" s="43"/>
      <c r="O43" s="43"/>
      <c r="P43" s="43"/>
    </row>
    <row r="44" spans="1:21" ht="35.1" customHeight="1" thickTop="1" thickBot="1" x14ac:dyDescent="0.25">
      <c r="B44" s="293" t="s">
        <v>7</v>
      </c>
      <c r="C44" s="294"/>
      <c r="D44" s="53">
        <f>D40-26</f>
        <v>-25</v>
      </c>
      <c r="E44" s="53">
        <f>D44</f>
        <v>-25</v>
      </c>
      <c r="F44" s="53">
        <f>E44</f>
        <v>-25</v>
      </c>
      <c r="G44" s="53">
        <f>F44</f>
        <v>-25</v>
      </c>
      <c r="H44" s="53">
        <f t="shared" ref="H44:K44" si="15">G44</f>
        <v>-25</v>
      </c>
      <c r="I44" s="53">
        <f t="shared" si="15"/>
        <v>-25</v>
      </c>
      <c r="J44" s="53">
        <f t="shared" si="15"/>
        <v>-25</v>
      </c>
      <c r="K44" s="53">
        <f t="shared" si="15"/>
        <v>-25</v>
      </c>
      <c r="L44" s="130">
        <f t="shared" ref="L44" si="16">K44</f>
        <v>-25</v>
      </c>
      <c r="M44" s="43"/>
      <c r="N44" s="43"/>
      <c r="O44" s="43"/>
      <c r="P44" s="43"/>
    </row>
    <row r="45" spans="1:21" ht="35.1" customHeight="1" thickTop="1" thickBot="1" x14ac:dyDescent="0.25">
      <c r="B45" s="293" t="s">
        <v>8</v>
      </c>
      <c r="C45" s="294"/>
      <c r="D45" s="54">
        <f>D43/D44</f>
        <v>15332</v>
      </c>
      <c r="E45" s="54">
        <f>E43/E44</f>
        <v>0</v>
      </c>
      <c r="F45" s="54">
        <f>F43/F44</f>
        <v>15332</v>
      </c>
      <c r="G45" s="54">
        <f t="shared" ref="G45:K45" si="17">G43/G44</f>
        <v>15391.2</v>
      </c>
      <c r="H45" s="54">
        <f t="shared" si="17"/>
        <v>15392</v>
      </c>
      <c r="I45" s="54">
        <f t="shared" si="17"/>
        <v>15392</v>
      </c>
      <c r="J45" s="54">
        <f t="shared" si="17"/>
        <v>15392.2</v>
      </c>
      <c r="K45" s="54">
        <f t="shared" si="17"/>
        <v>15394.4</v>
      </c>
      <c r="L45" s="131">
        <f>L43/L44</f>
        <v>15400</v>
      </c>
      <c r="M45" s="44"/>
      <c r="N45" s="44"/>
      <c r="O45" s="44"/>
      <c r="P45" s="44"/>
      <c r="T45">
        <v>53</v>
      </c>
      <c r="U45">
        <v>360</v>
      </c>
    </row>
    <row r="46" spans="1:21" ht="8.1" customHeight="1" thickTop="1" thickBot="1" x14ac:dyDescent="0.25">
      <c r="B46" s="128"/>
      <c r="C46" s="55"/>
      <c r="D46" s="51"/>
      <c r="E46" s="51"/>
      <c r="F46" s="51"/>
      <c r="G46" s="52"/>
      <c r="H46" s="52"/>
      <c r="I46" s="52"/>
      <c r="J46" s="52"/>
      <c r="K46" s="52"/>
      <c r="L46" s="129"/>
      <c r="M46" s="45"/>
      <c r="N46" s="45"/>
      <c r="O46" s="45"/>
      <c r="P46" s="45"/>
    </row>
    <row r="47" spans="1:21" ht="35.1" customHeight="1" thickTop="1" thickBot="1" x14ac:dyDescent="0.25">
      <c r="B47" s="295" t="s">
        <v>81</v>
      </c>
      <c r="C47" s="296"/>
      <c r="D47" s="98">
        <f>D39+29884+32490+33909</f>
        <v>97983</v>
      </c>
      <c r="E47" s="98">
        <f>E39+123712+98038+89421</f>
        <v>311171</v>
      </c>
      <c r="F47" s="98">
        <f>F39+153596+130528+123330</f>
        <v>409154</v>
      </c>
      <c r="G47" s="98">
        <f>G39+135360+140801+93599</f>
        <v>369980</v>
      </c>
      <c r="H47" s="98">
        <f>H39+132349+132282+84056</f>
        <v>348887</v>
      </c>
      <c r="I47" s="98">
        <f>I39+137068+133714+113349</f>
        <v>384331</v>
      </c>
      <c r="J47" s="98">
        <f>J39+141347+138216+110004</f>
        <v>389762</v>
      </c>
      <c r="K47" s="98">
        <f>K39+137883+128089+103157</f>
        <v>369269</v>
      </c>
      <c r="L47" s="132">
        <f>L39+123171+125273+83064</f>
        <v>331508</v>
      </c>
      <c r="M47" s="43"/>
      <c r="N47" s="43"/>
      <c r="O47" s="43"/>
      <c r="P47" s="43"/>
      <c r="Q47" s="16"/>
      <c r="T47" s="19"/>
      <c r="U47" s="16">
        <f>+U45-T45</f>
        <v>307</v>
      </c>
    </row>
    <row r="48" spans="1:21" ht="35.1" customHeight="1" thickTop="1" thickBot="1" x14ac:dyDescent="0.25">
      <c r="B48" s="297" t="s">
        <v>10</v>
      </c>
      <c r="C48" s="298"/>
      <c r="D48" s="53">
        <v>307</v>
      </c>
      <c r="E48" s="53">
        <f>+D48</f>
        <v>307</v>
      </c>
      <c r="F48" s="53">
        <f>E48</f>
        <v>307</v>
      </c>
      <c r="G48" s="53">
        <f t="shared" ref="G48:K48" si="18">F48</f>
        <v>307</v>
      </c>
      <c r="H48" s="53">
        <f t="shared" si="18"/>
        <v>307</v>
      </c>
      <c r="I48" s="53">
        <f t="shared" si="18"/>
        <v>307</v>
      </c>
      <c r="J48" s="53">
        <f t="shared" si="18"/>
        <v>307</v>
      </c>
      <c r="K48" s="53">
        <f t="shared" si="18"/>
        <v>307</v>
      </c>
      <c r="L48" s="130">
        <f t="shared" ref="L48" si="19">K48</f>
        <v>307</v>
      </c>
      <c r="M48" s="43"/>
      <c r="N48" s="43"/>
      <c r="O48" s="43"/>
      <c r="P48" s="43"/>
      <c r="Q48" s="16"/>
    </row>
    <row r="49" spans="2:18" ht="35.1" customHeight="1" thickTop="1" thickBot="1" x14ac:dyDescent="0.25">
      <c r="B49" s="289" t="s">
        <v>11</v>
      </c>
      <c r="C49" s="290"/>
      <c r="D49" s="133">
        <f>D47/D48</f>
        <v>319.1628664495114</v>
      </c>
      <c r="E49" s="133">
        <f t="shared" ref="E49:K49" si="20">E47/E48</f>
        <v>1013.586319218241</v>
      </c>
      <c r="F49" s="133">
        <f>F47/F48</f>
        <v>1332.7491856677525</v>
      </c>
      <c r="G49" s="133">
        <f t="shared" si="20"/>
        <v>1205.1465798045604</v>
      </c>
      <c r="H49" s="133">
        <f t="shared" si="20"/>
        <v>1136.4397394136809</v>
      </c>
      <c r="I49" s="133">
        <f t="shared" si="20"/>
        <v>1251.8925081433224</v>
      </c>
      <c r="J49" s="133">
        <f t="shared" si="20"/>
        <v>1269.5830618892508</v>
      </c>
      <c r="K49" s="133">
        <f t="shared" si="20"/>
        <v>1202.8306188925083</v>
      </c>
      <c r="L49" s="134">
        <f>L47/L48</f>
        <v>1079.8306188925083</v>
      </c>
      <c r="M49" s="44"/>
      <c r="N49" s="44"/>
      <c r="O49" s="44"/>
      <c r="P49" s="44"/>
      <c r="Q49" s="16"/>
      <c r="R49" s="23"/>
    </row>
    <row r="50" spans="2:18" ht="18.75" x14ac:dyDescent="0.2">
      <c r="B50" s="8"/>
      <c r="C50" s="8"/>
      <c r="D50" s="8"/>
      <c r="E50" s="8"/>
      <c r="F50" s="8"/>
      <c r="G50" s="8"/>
      <c r="H50" s="122"/>
      <c r="I50" s="122"/>
      <c r="J50" s="41"/>
      <c r="K50" s="41"/>
      <c r="L50" s="41"/>
      <c r="M50" s="41"/>
      <c r="N50" s="41"/>
      <c r="O50" s="41"/>
      <c r="P50" s="41"/>
    </row>
    <row r="51" spans="2:18" ht="18.75" x14ac:dyDescent="0.2">
      <c r="B51" s="9"/>
      <c r="C51" s="9"/>
      <c r="D51" s="9"/>
      <c r="E51" s="9"/>
      <c r="F51" s="10"/>
      <c r="G51" s="10"/>
      <c r="H51" s="10"/>
      <c r="I51" s="11"/>
      <c r="J51" s="11"/>
      <c r="K51" s="11"/>
      <c r="L51" s="12"/>
      <c r="M51" s="12"/>
      <c r="N51" s="12"/>
      <c r="O51" s="12"/>
      <c r="P51" s="13"/>
      <c r="R51" s="22"/>
    </row>
    <row r="52" spans="2:18" ht="18.75" x14ac:dyDescent="0.3">
      <c r="B52" s="14"/>
      <c r="C52" s="14"/>
      <c r="D52" s="14"/>
      <c r="E52" s="14"/>
      <c r="F52" s="15"/>
      <c r="G52" s="15"/>
      <c r="H52" s="15"/>
      <c r="I52" s="15"/>
      <c r="J52" s="15"/>
      <c r="K52" s="15"/>
      <c r="L52" s="15"/>
      <c r="M52" s="15"/>
      <c r="N52" s="15"/>
      <c r="O52" s="15"/>
      <c r="P52" s="15"/>
    </row>
  </sheetData>
  <mergeCells count="25">
    <mergeCell ref="B1:P1"/>
    <mergeCell ref="B2:C2"/>
    <mergeCell ref="B3:B4"/>
    <mergeCell ref="C3:C4"/>
    <mergeCell ref="D3:F3"/>
    <mergeCell ref="G3:G4"/>
    <mergeCell ref="H3:H4"/>
    <mergeCell ref="I3:I4"/>
    <mergeCell ref="J3:J4"/>
    <mergeCell ref="K3:K4"/>
    <mergeCell ref="L3:L4"/>
    <mergeCell ref="M3:M4"/>
    <mergeCell ref="N3:P3"/>
    <mergeCell ref="B41:C41"/>
    <mergeCell ref="B49:C49"/>
    <mergeCell ref="B43:C43"/>
    <mergeCell ref="B44:C44"/>
    <mergeCell ref="B45:C45"/>
    <mergeCell ref="B47:C47"/>
    <mergeCell ref="B48:C48"/>
    <mergeCell ref="M40:P40"/>
    <mergeCell ref="B38:C38"/>
    <mergeCell ref="B39:C39"/>
    <mergeCell ref="B36:C36"/>
    <mergeCell ref="B40:C40"/>
  </mergeCells>
  <phoneticPr fontId="0" type="noConversion"/>
  <printOptions horizontalCentered="1" verticalCentered="1"/>
  <pageMargins left="0.24" right="0.23" top="0" bottom="0" header="0" footer="0"/>
  <pageSetup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20"/>
  <sheetViews>
    <sheetView showGridLines="0" zoomScaleSheetLayoutView="100" workbookViewId="0">
      <pane ySplit="2" topLeftCell="A3" activePane="bottomLeft" state="frozen"/>
      <selection pane="bottomLeft" activeCell="G6" sqref="G6"/>
    </sheetView>
  </sheetViews>
  <sheetFormatPr defaultRowHeight="12.75" x14ac:dyDescent="0.2"/>
  <cols>
    <col min="1" max="1" width="2.42578125" customWidth="1"/>
    <col min="2" max="2" width="26" customWidth="1"/>
    <col min="3" max="9" width="11.7109375" customWidth="1"/>
  </cols>
  <sheetData>
    <row r="1" spans="1:39" ht="65.25" customHeight="1" thickBot="1" x14ac:dyDescent="0.25">
      <c r="B1" s="316" t="s">
        <v>80</v>
      </c>
      <c r="C1" s="317"/>
      <c r="D1" s="317"/>
      <c r="E1" s="317"/>
      <c r="F1" s="317"/>
      <c r="G1" s="317"/>
      <c r="H1" s="317"/>
      <c r="I1" s="317"/>
    </row>
    <row r="2" spans="1:39" ht="79.5" customHeight="1" thickTop="1" thickBot="1" x14ac:dyDescent="0.25">
      <c r="A2" s="2"/>
      <c r="B2" s="202" t="s">
        <v>24</v>
      </c>
      <c r="C2" s="208" t="s">
        <v>84</v>
      </c>
      <c r="D2" s="208" t="s">
        <v>68</v>
      </c>
      <c r="E2" s="208" t="s">
        <v>69</v>
      </c>
      <c r="F2" s="208" t="s">
        <v>70</v>
      </c>
      <c r="G2" s="208" t="s">
        <v>85</v>
      </c>
      <c r="H2" s="208" t="s">
        <v>74</v>
      </c>
      <c r="I2" s="209" t="s">
        <v>4</v>
      </c>
      <c r="J2" s="36"/>
    </row>
    <row r="3" spans="1:39" ht="39.950000000000003" customHeight="1" thickTop="1" thickBot="1" x14ac:dyDescent="0.25">
      <c r="A3" s="2"/>
      <c r="B3" s="195" t="s">
        <v>25</v>
      </c>
      <c r="C3" s="73">
        <f>'Date wise Pro. Status'!D39</f>
        <v>1700</v>
      </c>
      <c r="D3" s="73">
        <f>'Date wise Pro. Status'!G39</f>
        <v>220</v>
      </c>
      <c r="E3" s="73">
        <f>'Date wise Pro. Status'!H39</f>
        <v>200</v>
      </c>
      <c r="F3" s="73">
        <f>'Date wise Pro. Status'!I39</f>
        <v>200</v>
      </c>
      <c r="G3" s="73">
        <f>'Date wise Pro. Status'!J39</f>
        <v>195</v>
      </c>
      <c r="H3" s="73">
        <f>'Date wise Pro. Status'!K39</f>
        <v>140</v>
      </c>
      <c r="I3" s="198">
        <f>'Date wise Pro. Status'!L39</f>
        <v>0</v>
      </c>
    </row>
    <row r="4" spans="1:39" s="25" customFormat="1" ht="39.950000000000003" customHeight="1" thickTop="1" thickBot="1" x14ac:dyDescent="0.25">
      <c r="A4" s="24"/>
      <c r="B4" s="196" t="s">
        <v>26</v>
      </c>
      <c r="C4" s="40"/>
      <c r="D4" s="40"/>
      <c r="E4" s="40"/>
      <c r="F4" s="40"/>
      <c r="G4" s="40"/>
      <c r="H4" s="40"/>
      <c r="I4" s="198"/>
    </row>
    <row r="5" spans="1:39" ht="39.950000000000003" customHeight="1" thickTop="1" thickBot="1" x14ac:dyDescent="0.25">
      <c r="A5" s="2"/>
      <c r="B5" s="196" t="s">
        <v>27</v>
      </c>
      <c r="C5" s="40"/>
      <c r="D5" s="40"/>
      <c r="E5" s="40"/>
      <c r="F5" s="40"/>
      <c r="G5" s="40"/>
      <c r="H5" s="40"/>
      <c r="I5" s="198"/>
    </row>
    <row r="6" spans="1:39" ht="39.950000000000003" customHeight="1" thickTop="1" x14ac:dyDescent="0.2">
      <c r="A6" s="2"/>
      <c r="B6" s="196" t="s">
        <v>28</v>
      </c>
      <c r="C6" s="73"/>
      <c r="D6" s="73"/>
      <c r="E6" s="73"/>
      <c r="F6" s="73"/>
      <c r="G6" s="73"/>
      <c r="H6" s="73"/>
      <c r="I6" s="198"/>
    </row>
    <row r="7" spans="1:39" s="25" customFormat="1" ht="39.950000000000003" customHeight="1" thickBot="1" x14ac:dyDescent="0.25">
      <c r="A7" s="24"/>
      <c r="B7" s="196" t="s">
        <v>29</v>
      </c>
      <c r="C7" s="35"/>
      <c r="D7" s="35"/>
      <c r="E7" s="35"/>
      <c r="F7" s="35"/>
      <c r="G7" s="35"/>
      <c r="H7" s="35"/>
      <c r="I7" s="199"/>
      <c r="U7" s="25">
        <v>80</v>
      </c>
      <c r="V7" s="25">
        <v>1612</v>
      </c>
      <c r="X7" s="25">
        <f>896+896+58+1675+1136+1692</f>
        <v>6353</v>
      </c>
    </row>
    <row r="8" spans="1:39" ht="39.950000000000003" customHeight="1" thickTop="1" x14ac:dyDescent="0.2">
      <c r="A8" s="24"/>
      <c r="B8" s="196" t="s">
        <v>30</v>
      </c>
      <c r="C8" s="73"/>
      <c r="D8" s="73"/>
      <c r="E8" s="73"/>
      <c r="F8" s="73"/>
      <c r="G8" s="73"/>
      <c r="H8" s="73"/>
      <c r="I8" s="198"/>
    </row>
    <row r="9" spans="1:39" ht="39.950000000000003" customHeight="1" x14ac:dyDescent="0.2">
      <c r="A9" s="24"/>
      <c r="B9" s="196" t="s">
        <v>31</v>
      </c>
      <c r="C9" s="35"/>
      <c r="D9" s="35"/>
      <c r="E9" s="35"/>
      <c r="F9" s="35"/>
      <c r="G9" s="35"/>
      <c r="H9" s="35"/>
      <c r="I9" s="199"/>
      <c r="N9" s="16"/>
      <c r="O9" s="16"/>
      <c r="P9" s="16"/>
    </row>
    <row r="10" spans="1:39" ht="39.950000000000003" customHeight="1" x14ac:dyDescent="0.2">
      <c r="A10" s="24"/>
      <c r="B10" s="196" t="s">
        <v>32</v>
      </c>
      <c r="C10" s="35"/>
      <c r="D10" s="35"/>
      <c r="E10" s="35"/>
      <c r="F10" s="35"/>
      <c r="G10" s="35"/>
      <c r="H10" s="35"/>
      <c r="I10" s="199"/>
      <c r="AK10">
        <v>229</v>
      </c>
      <c r="AM10">
        <f>400+689</f>
        <v>1089</v>
      </c>
    </row>
    <row r="11" spans="1:39" ht="39.950000000000003" customHeight="1" x14ac:dyDescent="0.2">
      <c r="A11" s="24"/>
      <c r="B11" s="196" t="s">
        <v>33</v>
      </c>
      <c r="C11" s="35"/>
      <c r="D11" s="35"/>
      <c r="E11" s="35"/>
      <c r="F11" s="35"/>
      <c r="G11" s="35"/>
      <c r="H11" s="35"/>
      <c r="I11" s="200"/>
    </row>
    <row r="12" spans="1:39" ht="39.950000000000003" customHeight="1" x14ac:dyDescent="0.2">
      <c r="A12" s="24"/>
      <c r="B12" s="196" t="s">
        <v>34</v>
      </c>
      <c r="C12" s="35"/>
      <c r="D12" s="35"/>
      <c r="E12" s="35"/>
      <c r="F12" s="35"/>
      <c r="G12" s="35"/>
      <c r="H12" s="105"/>
      <c r="I12" s="200"/>
      <c r="L12" s="18"/>
      <c r="M12" s="16"/>
    </row>
    <row r="13" spans="1:39" ht="39.950000000000003" customHeight="1" x14ac:dyDescent="0.2">
      <c r="A13" s="24"/>
      <c r="B13" s="196" t="s">
        <v>35</v>
      </c>
      <c r="C13" s="35"/>
      <c r="D13" s="35"/>
      <c r="E13" s="35"/>
      <c r="F13" s="35"/>
      <c r="G13" s="35"/>
      <c r="H13" s="35"/>
      <c r="I13" s="200"/>
    </row>
    <row r="14" spans="1:39" ht="39.950000000000003" customHeight="1" thickBot="1" x14ac:dyDescent="0.25">
      <c r="A14" s="24"/>
      <c r="B14" s="197" t="s">
        <v>36</v>
      </c>
      <c r="C14" s="35"/>
      <c r="D14" s="35"/>
      <c r="E14" s="35"/>
      <c r="F14" s="35"/>
      <c r="G14" s="35"/>
      <c r="H14" s="35"/>
      <c r="I14" s="201"/>
      <c r="J14" s="16"/>
    </row>
    <row r="15" spans="1:39" ht="39.950000000000003" customHeight="1" thickTop="1" thickBot="1" x14ac:dyDescent="0.25">
      <c r="A15" s="24"/>
      <c r="B15" s="207" t="s">
        <v>81</v>
      </c>
      <c r="C15" s="203">
        <f t="shared" ref="C15:I15" si="0">SUM(C3:C14)</f>
        <v>1700</v>
      </c>
      <c r="D15" s="203">
        <f t="shared" si="0"/>
        <v>220</v>
      </c>
      <c r="E15" s="203">
        <f t="shared" si="0"/>
        <v>200</v>
      </c>
      <c r="F15" s="203">
        <f t="shared" si="0"/>
        <v>200</v>
      </c>
      <c r="G15" s="203">
        <f t="shared" si="0"/>
        <v>195</v>
      </c>
      <c r="H15" s="203">
        <f t="shared" si="0"/>
        <v>140</v>
      </c>
      <c r="I15" s="203">
        <f t="shared" si="0"/>
        <v>0</v>
      </c>
      <c r="J15" s="16"/>
      <c r="M15" s="19"/>
      <c r="N15" s="16"/>
    </row>
    <row r="16" spans="1:39" ht="39.950000000000003" customHeight="1" thickTop="1" thickBot="1" x14ac:dyDescent="0.25">
      <c r="A16" s="24"/>
      <c r="B16" s="187" t="s">
        <v>10</v>
      </c>
      <c r="C16" s="28">
        <f>+'Date wise Pro. Status'!D48</f>
        <v>307</v>
      </c>
      <c r="D16" s="28">
        <f>+'Date wise Pro. Status'!E48</f>
        <v>307</v>
      </c>
      <c r="E16" s="28">
        <f>+'Date wise Pro. Status'!F48</f>
        <v>307</v>
      </c>
      <c r="F16" s="28">
        <f>+'Date wise Pro. Status'!G48</f>
        <v>307</v>
      </c>
      <c r="G16" s="28">
        <f>+'Date wise Pro. Status'!H48</f>
        <v>307</v>
      </c>
      <c r="H16" s="28">
        <f>+'Date wise Pro. Status'!I48</f>
        <v>307</v>
      </c>
      <c r="I16" s="28">
        <f>+'Date wise Pro. Status'!J48</f>
        <v>307</v>
      </c>
      <c r="J16" s="16"/>
    </row>
    <row r="17" spans="1:12" ht="39.950000000000003" customHeight="1" thickTop="1" thickBot="1" x14ac:dyDescent="0.25">
      <c r="A17" s="24"/>
      <c r="B17" s="187" t="s">
        <v>39</v>
      </c>
      <c r="C17" s="29">
        <f>C15/C16</f>
        <v>5.5374592833876219</v>
      </c>
      <c r="D17" s="29">
        <f>C17</f>
        <v>5.5374592833876219</v>
      </c>
      <c r="E17" s="29">
        <f t="shared" ref="E17:H17" si="1">D17</f>
        <v>5.5374592833876219</v>
      </c>
      <c r="F17" s="29">
        <f t="shared" si="1"/>
        <v>5.5374592833876219</v>
      </c>
      <c r="G17" s="29">
        <f t="shared" si="1"/>
        <v>5.5374592833876219</v>
      </c>
      <c r="H17" s="29">
        <f t="shared" si="1"/>
        <v>5.5374592833876219</v>
      </c>
      <c r="I17" s="29">
        <f t="shared" ref="I17:I18" si="2">H17</f>
        <v>5.5374592833876219</v>
      </c>
      <c r="J17" s="16"/>
      <c r="K17" s="23"/>
    </row>
    <row r="18" spans="1:12" ht="39.950000000000003" customHeight="1" thickTop="1" thickBot="1" x14ac:dyDescent="0.25">
      <c r="B18" s="186" t="s">
        <v>37</v>
      </c>
      <c r="C18" s="27">
        <v>12</v>
      </c>
      <c r="D18" s="27">
        <f>C18</f>
        <v>12</v>
      </c>
      <c r="E18" s="27">
        <f t="shared" ref="E18:H18" si="3">D18</f>
        <v>12</v>
      </c>
      <c r="F18" s="27">
        <f t="shared" si="3"/>
        <v>12</v>
      </c>
      <c r="G18" s="27">
        <f t="shared" si="3"/>
        <v>12</v>
      </c>
      <c r="H18" s="27">
        <f t="shared" si="3"/>
        <v>12</v>
      </c>
      <c r="I18" s="27">
        <f t="shared" si="2"/>
        <v>12</v>
      </c>
    </row>
    <row r="19" spans="1:12" ht="39.950000000000003" customHeight="1" thickTop="1" thickBot="1" x14ac:dyDescent="0.25">
      <c r="B19" s="187" t="s">
        <v>38</v>
      </c>
      <c r="C19" s="192">
        <f>C15/C18</f>
        <v>141.66666666666666</v>
      </c>
      <c r="D19" s="192">
        <f t="shared" ref="D19:I19" si="4">D15/D18</f>
        <v>18.333333333333332</v>
      </c>
      <c r="E19" s="192">
        <f t="shared" si="4"/>
        <v>16.666666666666668</v>
      </c>
      <c r="F19" s="192">
        <f t="shared" si="4"/>
        <v>16.666666666666668</v>
      </c>
      <c r="G19" s="192">
        <f t="shared" si="4"/>
        <v>16.25</v>
      </c>
      <c r="H19" s="192">
        <f t="shared" si="4"/>
        <v>11.666666666666666</v>
      </c>
      <c r="I19" s="192">
        <f t="shared" si="4"/>
        <v>0</v>
      </c>
      <c r="K19" s="66"/>
      <c r="L19" s="66"/>
    </row>
    <row r="20" spans="1:12" ht="19.5" thickTop="1" x14ac:dyDescent="0.3">
      <c r="B20" s="14"/>
      <c r="C20" s="15"/>
      <c r="D20" s="15"/>
    </row>
  </sheetData>
  <sheetProtection sheet="1" formatCells="0" formatColumns="0" formatRows="0" insertColumns="0" insertRows="0" insertHyperlinks="0" deleteColumns="0" deleteRows="0" sort="0" autoFilter="0" pivotTables="0"/>
  <mergeCells count="1">
    <mergeCell ref="B1:I1"/>
  </mergeCells>
  <printOptions horizontalCentered="1" verticalCentered="1"/>
  <pageMargins left="0" right="0.23" top="0" bottom="0" header="0" footer="0"/>
  <pageSetup scale="91"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52"/>
  <sheetViews>
    <sheetView workbookViewId="0">
      <selection activeCell="F33" sqref="F33"/>
    </sheetView>
  </sheetViews>
  <sheetFormatPr defaultRowHeight="12.75" x14ac:dyDescent="0.2"/>
  <cols>
    <col min="3" max="3" width="16.28515625" customWidth="1"/>
    <col min="4" max="4" width="13.5703125" customWidth="1"/>
    <col min="5" max="5" width="13.85546875" customWidth="1"/>
    <col min="6" max="6" width="17.5703125" customWidth="1"/>
    <col min="7" max="7" width="20.85546875" customWidth="1"/>
  </cols>
  <sheetData>
    <row r="6" spans="3:5" x14ac:dyDescent="0.2">
      <c r="C6" s="245" t="s">
        <v>100</v>
      </c>
      <c r="D6" s="245" t="s">
        <v>53</v>
      </c>
      <c r="E6" s="245" t="s">
        <v>105</v>
      </c>
    </row>
    <row r="7" spans="3:5" hidden="1" x14ac:dyDescent="0.2">
      <c r="C7" s="244">
        <v>325467</v>
      </c>
      <c r="D7" s="244">
        <f>IFERROR(VLOOKUP(C7,Table2[],6,0),"")</f>
        <v>980</v>
      </c>
      <c r="E7" s="244">
        <f>IFERROR(VLOOKUP(C7,'Daily Report'!$C$5:$M$19,10,0),"")</f>
        <v>800</v>
      </c>
    </row>
    <row r="8" spans="3:5" hidden="1" x14ac:dyDescent="0.2">
      <c r="C8" s="244">
        <v>325467</v>
      </c>
      <c r="D8" s="244">
        <f>IFERROR(VLOOKUP(C8,Table2[],6,0),"")</f>
        <v>980</v>
      </c>
      <c r="E8" s="244">
        <f>IFERROR(VLOOKUP(C8,'Daily Report'!$C$5:$M$19,10,0),"")</f>
        <v>800</v>
      </c>
    </row>
    <row r="9" spans="3:5" hidden="1" x14ac:dyDescent="0.2">
      <c r="C9" s="244">
        <v>235896</v>
      </c>
      <c r="D9" s="244">
        <f>IFERROR(VLOOKUP(C9,Table2[],6,0),"")</f>
        <v>1740</v>
      </c>
      <c r="E9" s="244">
        <f>IFERROR(VLOOKUP(C9,'Daily Report'!$C$5:$M$19,10,0),"")</f>
        <v>900</v>
      </c>
    </row>
    <row r="10" spans="3:5" x14ac:dyDescent="0.2">
      <c r="C10" s="244">
        <v>2389547</v>
      </c>
      <c r="D10" s="244">
        <f>IFERROR(VLOOKUP(C10,Table2[],6,0),"")</f>
        <v>1150</v>
      </c>
      <c r="E10" s="244">
        <f>IFERROR(VLOOKUP(C10,'Daily Report'!$C$5:$M$19,10,0),"")</f>
        <v>0</v>
      </c>
    </row>
    <row r="11" spans="3:5" hidden="1" x14ac:dyDescent="0.2">
      <c r="C11" s="244">
        <v>325467</v>
      </c>
      <c r="D11" s="244">
        <f>IFERROR(VLOOKUP(C11,Table2[],6,0),"")</f>
        <v>980</v>
      </c>
      <c r="E11" s="244">
        <f>IFERROR(VLOOKUP(C11,'Daily Report'!$C$5:$M$19,10,0),"")</f>
        <v>800</v>
      </c>
    </row>
    <row r="12" spans="3:5" hidden="1" x14ac:dyDescent="0.2">
      <c r="C12" s="244">
        <v>235896</v>
      </c>
      <c r="D12" s="244">
        <f>IFERROR(VLOOKUP(C12,Table2[],6,0),"")</f>
        <v>1740</v>
      </c>
      <c r="E12" s="244">
        <f>IFERROR(VLOOKUP(C12,'Daily Report'!$C$5:$M$19,10,0),"")</f>
        <v>900</v>
      </c>
    </row>
    <row r="13" spans="3:5" hidden="1" x14ac:dyDescent="0.2">
      <c r="C13" s="244" t="s">
        <v>63</v>
      </c>
      <c r="D13" s="244" t="str">
        <f>IFERROR(VLOOKUP(C13,Table2[],6,0),"")</f>
        <v/>
      </c>
      <c r="E13" s="244">
        <f>IFERROR(VLOOKUP(C13,'Daily Report'!$C$5:$M$19,10,0),"")</f>
        <v>0</v>
      </c>
    </row>
    <row r="14" spans="3:5" hidden="1" x14ac:dyDescent="0.2">
      <c r="C14" s="244">
        <v>12345678</v>
      </c>
      <c r="D14" s="244">
        <f>IFERROR(VLOOKUP(C14,Table2[],6,0),"")</f>
        <v>1200</v>
      </c>
      <c r="E14" s="244">
        <f>IFERROR(VLOOKUP(C14,'Daily Report'!$C$5:$M$19,10,0),"")</f>
        <v>0</v>
      </c>
    </row>
    <row r="15" spans="3:5" hidden="1" x14ac:dyDescent="0.2">
      <c r="C15" s="244"/>
      <c r="D15" s="244" t="str">
        <f>IFERROR(VLOOKUP(C15,Table2[],6,0),"")</f>
        <v/>
      </c>
      <c r="E15" s="244" t="str">
        <f>IFERROR(VLOOKUP(C15,'Daily Report'!$C$5:$M$19,10,0),"")</f>
        <v/>
      </c>
    </row>
    <row r="16" spans="3:5" hidden="1" x14ac:dyDescent="0.2">
      <c r="C16" s="244"/>
      <c r="D16" s="244" t="str">
        <f>IFERROR(VLOOKUP(C16,Table2[],6,0),"")</f>
        <v/>
      </c>
      <c r="E16" s="244" t="str">
        <f>IFERROR(VLOOKUP(C16,'Daily Report'!$C$5:$M$19,10,0),"")</f>
        <v/>
      </c>
    </row>
    <row r="17" spans="3:5" hidden="1" x14ac:dyDescent="0.2">
      <c r="C17" s="244"/>
      <c r="D17" s="244" t="str">
        <f>IFERROR(VLOOKUP(C17,Table2[],6,0),"")</f>
        <v/>
      </c>
      <c r="E17" s="244" t="str">
        <f>IFERROR(VLOOKUP(C17,'Daily Report'!$C$5:$M$19,10,0),"")</f>
        <v/>
      </c>
    </row>
    <row r="18" spans="3:5" hidden="1" x14ac:dyDescent="0.2">
      <c r="C18" s="244"/>
      <c r="D18" s="244" t="str">
        <f>IFERROR(VLOOKUP(C18,Table2[],6,0),"")</f>
        <v/>
      </c>
      <c r="E18" s="244" t="str">
        <f>IFERROR(VLOOKUP(C18,'Daily Report'!$C$5:$M$19,10,0),"")</f>
        <v/>
      </c>
    </row>
    <row r="19" spans="3:5" hidden="1" x14ac:dyDescent="0.2">
      <c r="C19" s="244"/>
      <c r="D19" s="244" t="str">
        <f>IFERROR(VLOOKUP(C19,Table2[],6,0),"")</f>
        <v/>
      </c>
      <c r="E19" s="244" t="str">
        <f>IFERROR(VLOOKUP(C19,'Daily Report'!$C$5:$M$19,10,0),"")</f>
        <v/>
      </c>
    </row>
    <row r="20" spans="3:5" hidden="1" x14ac:dyDescent="0.2">
      <c r="C20" s="244"/>
      <c r="D20" s="244" t="str">
        <f>IFERROR(VLOOKUP(C20,Table2[],6,0),"")</f>
        <v/>
      </c>
      <c r="E20" s="244" t="str">
        <f>IFERROR(VLOOKUP(C20,'Daily Report'!$C$5:$M$19,10,0),"")</f>
        <v/>
      </c>
    </row>
    <row r="21" spans="3:5" hidden="1" x14ac:dyDescent="0.2">
      <c r="C21" s="244"/>
      <c r="D21" s="244" t="str">
        <f>IFERROR(VLOOKUP(C21,Table2[],6,0),"")</f>
        <v/>
      </c>
      <c r="E21" s="244" t="str">
        <f>IFERROR(VLOOKUP(C21,'Daily Report'!$C$5:$M$19,10,0),"")</f>
        <v/>
      </c>
    </row>
    <row r="22" spans="3:5" hidden="1" x14ac:dyDescent="0.2">
      <c r="C22" s="244"/>
      <c r="D22" s="244" t="str">
        <f>IFERROR(VLOOKUP(C22,Table2[],6,0),"")</f>
        <v/>
      </c>
      <c r="E22" s="244" t="str">
        <f>IFERROR(VLOOKUP(C22,'Daily Report'!$C$5:$M$19,10,0),"")</f>
        <v/>
      </c>
    </row>
    <row r="23" spans="3:5" hidden="1" x14ac:dyDescent="0.2">
      <c r="C23" s="244"/>
      <c r="D23" s="244" t="str">
        <f>IFERROR(VLOOKUP(C23,Table2[],6,0),"")</f>
        <v/>
      </c>
      <c r="E23" s="244" t="str">
        <f>IFERROR(VLOOKUP(C23,'Daily Report'!$C$5:$M$19,10,0),"")</f>
        <v/>
      </c>
    </row>
    <row r="24" spans="3:5" hidden="1" x14ac:dyDescent="0.2">
      <c r="C24" s="244"/>
      <c r="D24" s="244" t="str">
        <f>IFERROR(VLOOKUP(C24,Table2[],6,0),"")</f>
        <v/>
      </c>
      <c r="E24" s="244" t="str">
        <f>IFERROR(VLOOKUP(C24,'Daily Report'!$C$5:$M$19,10,0),"")</f>
        <v/>
      </c>
    </row>
    <row r="25" spans="3:5" hidden="1" x14ac:dyDescent="0.2">
      <c r="C25" s="244"/>
      <c r="D25" s="244" t="str">
        <f>IFERROR(VLOOKUP(C25,Table2[],6,0),"")</f>
        <v/>
      </c>
      <c r="E25" s="244" t="str">
        <f>IFERROR(VLOOKUP(C25,'Daily Report'!$C$5:$M$19,10,0),"")</f>
        <v/>
      </c>
    </row>
    <row r="26" spans="3:5" hidden="1" x14ac:dyDescent="0.2">
      <c r="C26" s="244"/>
      <c r="D26" s="244" t="str">
        <f>IFERROR(VLOOKUP(C26,Table2[],6,0),"")</f>
        <v/>
      </c>
      <c r="E26" s="244" t="str">
        <f>IFERROR(VLOOKUP(C26,'Daily Report'!$C$5:$M$19,10,0),"")</f>
        <v/>
      </c>
    </row>
    <row r="27" spans="3:5" hidden="1" x14ac:dyDescent="0.2">
      <c r="C27" s="244"/>
      <c r="D27" s="244" t="str">
        <f>IFERROR(VLOOKUP(C27,Table2[],6,0),"")</f>
        <v/>
      </c>
      <c r="E27" s="244" t="str">
        <f>IFERROR(VLOOKUP(C27,'Daily Report'!$C$5:$M$19,10,0),"")</f>
        <v/>
      </c>
    </row>
    <row r="28" spans="3:5" hidden="1" x14ac:dyDescent="0.2">
      <c r="C28" s="244"/>
      <c r="D28" s="244" t="str">
        <f>IFERROR(VLOOKUP(C28,Table2[],6,0),"")</f>
        <v/>
      </c>
      <c r="E28" s="244" t="str">
        <f>IFERROR(VLOOKUP(C28,'Daily Report'!$C$5:$M$19,10,0),"")</f>
        <v/>
      </c>
    </row>
    <row r="29" spans="3:5" hidden="1" x14ac:dyDescent="0.2">
      <c r="C29" s="244"/>
      <c r="D29" s="244" t="str">
        <f>IFERROR(VLOOKUP(C29,Table2[],6,0),"")</f>
        <v/>
      </c>
      <c r="E29" s="244" t="str">
        <f>IFERROR(VLOOKUP(C29,'Daily Report'!$C$5:$M$19,10,0),"")</f>
        <v/>
      </c>
    </row>
    <row r="30" spans="3:5" hidden="1" x14ac:dyDescent="0.2">
      <c r="C30" s="244"/>
      <c r="D30" s="244" t="str">
        <f>IFERROR(VLOOKUP(C30,Table2[],6,0),"")</f>
        <v/>
      </c>
      <c r="E30" s="244" t="str">
        <f>IFERROR(VLOOKUP(C30,'Daily Report'!$C$5:$M$19,10,0),"")</f>
        <v/>
      </c>
    </row>
    <row r="31" spans="3:5" hidden="1" x14ac:dyDescent="0.2">
      <c r="C31" s="246"/>
      <c r="D31" s="246" t="str">
        <f>IFERROR(VLOOKUP(C31,Table2[],6,0),"")</f>
        <v/>
      </c>
      <c r="E31" s="246" t="str">
        <f>IFERROR(VLOOKUP(C31,'Daily Report'!$C$5:$M$19,10,0),"")</f>
        <v/>
      </c>
    </row>
    <row r="46" spans="5:7" x14ac:dyDescent="0.2">
      <c r="E46" s="204" t="s">
        <v>82</v>
      </c>
      <c r="F46" s="216" t="s">
        <v>102</v>
      </c>
      <c r="G46" s="216" t="s">
        <v>106</v>
      </c>
    </row>
    <row r="47" spans="5:7" x14ac:dyDescent="0.2">
      <c r="E47" s="205">
        <v>235896</v>
      </c>
      <c r="F47" s="206">
        <v>3480</v>
      </c>
      <c r="G47" s="206">
        <v>1800</v>
      </c>
    </row>
    <row r="48" spans="5:7" x14ac:dyDescent="0.2">
      <c r="E48" s="205">
        <v>325467</v>
      </c>
      <c r="F48" s="206">
        <v>2940</v>
      </c>
      <c r="G48" s="206">
        <v>2400</v>
      </c>
    </row>
    <row r="49" spans="5:7" x14ac:dyDescent="0.2">
      <c r="E49" s="205">
        <v>2389547</v>
      </c>
      <c r="F49" s="206">
        <v>1150</v>
      </c>
      <c r="G49" s="206">
        <v>0</v>
      </c>
    </row>
    <row r="50" spans="5:7" x14ac:dyDescent="0.2">
      <c r="E50" s="205" t="s">
        <v>63</v>
      </c>
      <c r="F50" s="206">
        <v>0</v>
      </c>
      <c r="G50" s="206">
        <v>0</v>
      </c>
    </row>
    <row r="51" spans="5:7" x14ac:dyDescent="0.2">
      <c r="E51" s="205" t="s">
        <v>101</v>
      </c>
      <c r="F51" s="206">
        <v>0</v>
      </c>
      <c r="G51" s="206">
        <v>0</v>
      </c>
    </row>
    <row r="52" spans="5:7" x14ac:dyDescent="0.2">
      <c r="E52" s="205" t="s">
        <v>83</v>
      </c>
      <c r="F52" s="206">
        <v>7570</v>
      </c>
      <c r="G52" s="206">
        <v>4200</v>
      </c>
    </row>
  </sheetData>
  <dataValidations count="1">
    <dataValidation type="list" allowBlank="1" showInputMessage="1" showErrorMessage="1" sqref="C7:C31">
      <formula1>company_serial</formula1>
    </dataValidation>
  </dataValidations>
  <pageMargins left="0.7" right="0.7" top="0.75" bottom="0.75" header="0.3" footer="0.3"/>
  <drawing r:id="rId2"/>
  <tableParts count="1">
    <tablePart r:id="rId3"/>
  </tableParts>
  <extLst>
    <ext xmlns:x15="http://schemas.microsoft.com/office/spreadsheetml/2010/11/main" uri="{3A4CF648-6AED-40f4-86FF-DC5316D8AED3}">
      <x14:slicerList xmlns:x14="http://schemas.microsoft.com/office/spreadsheetml/2009/9/main">
        <x14:slicer r:id="rId5"/>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31"/>
  <sheetViews>
    <sheetView workbookViewId="0">
      <selection activeCell="G22" sqref="G22"/>
    </sheetView>
  </sheetViews>
  <sheetFormatPr defaultRowHeight="12.75" x14ac:dyDescent="0.2"/>
  <cols>
    <col min="2" max="2" width="18.5703125" customWidth="1"/>
    <col min="3" max="3" width="18.7109375" customWidth="1"/>
    <col min="4" max="4" width="15.7109375" customWidth="1"/>
    <col min="5" max="5" width="14.7109375" customWidth="1"/>
    <col min="6" max="6" width="13.140625" customWidth="1"/>
    <col min="7" max="7" width="17.42578125" customWidth="1"/>
    <col min="8" max="8" width="24.7109375" customWidth="1"/>
    <col min="9" max="9" width="19.42578125" customWidth="1"/>
    <col min="10" max="10" width="14.42578125" customWidth="1"/>
  </cols>
  <sheetData>
    <row r="1" spans="2:10" x14ac:dyDescent="0.2">
      <c r="B1" s="318" t="s">
        <v>103</v>
      </c>
      <c r="C1" s="318"/>
      <c r="D1" s="318"/>
      <c r="E1" s="318"/>
      <c r="F1" s="318"/>
      <c r="G1" s="318"/>
      <c r="H1" s="318"/>
      <c r="I1" s="318"/>
      <c r="J1" s="318"/>
    </row>
    <row r="2" spans="2:10" x14ac:dyDescent="0.2">
      <c r="B2" s="318"/>
      <c r="C2" s="318"/>
      <c r="D2" s="318"/>
      <c r="E2" s="318"/>
      <c r="F2" s="318"/>
      <c r="G2" s="318"/>
      <c r="H2" s="318"/>
      <c r="I2" s="318"/>
      <c r="J2" s="318"/>
    </row>
    <row r="4" spans="2:10" x14ac:dyDescent="0.2">
      <c r="B4" s="319" t="s">
        <v>109</v>
      </c>
    </row>
    <row r="5" spans="2:10" x14ac:dyDescent="0.2">
      <c r="B5" s="320"/>
      <c r="C5" s="321" t="s">
        <v>111</v>
      </c>
      <c r="D5" s="322"/>
      <c r="E5" s="322"/>
      <c r="F5" s="322"/>
      <c r="G5" s="322"/>
      <c r="H5" s="322"/>
      <c r="I5" s="322"/>
      <c r="J5" s="322"/>
    </row>
    <row r="6" spans="2:10" ht="16.5" thickBot="1" x14ac:dyDescent="0.25">
      <c r="B6" s="243" t="s">
        <v>100</v>
      </c>
      <c r="C6" s="247" t="s">
        <v>50</v>
      </c>
      <c r="D6" s="247" t="s">
        <v>51</v>
      </c>
      <c r="E6" s="247" t="s">
        <v>52</v>
      </c>
      <c r="F6" s="247" t="s">
        <v>15</v>
      </c>
      <c r="G6" s="247" t="s">
        <v>53</v>
      </c>
      <c r="H6" s="248" t="s">
        <v>94</v>
      </c>
      <c r="I6" s="247" t="s">
        <v>93</v>
      </c>
      <c r="J6" s="249" t="s">
        <v>95</v>
      </c>
    </row>
    <row r="7" spans="2:10" x14ac:dyDescent="0.2">
      <c r="B7" s="241">
        <v>325467</v>
      </c>
      <c r="C7" s="241" t="str">
        <f>IFERROR(VLOOKUP(B7,'Customer Data Base'!$B$7:$J$29,2,0),"")</f>
        <v>Kiabi</v>
      </c>
      <c r="D7" s="241">
        <f>IFERROR(VLOOKUP(B7,'Customer Data Base'!$B$7:$J$29,3,0),"")</f>
        <v>238964</v>
      </c>
      <c r="E7" s="241" t="str">
        <f>IFERROR(VLOOKUP(B7,'Customer Data Base'!$B$7:$J$29,4,0),"")</f>
        <v>A-25896</v>
      </c>
      <c r="F7" s="241" t="str">
        <f>IFERROR(VLOOKUP(B7,'Customer Data Base'!$B$7:$J$29,5,0),"")</f>
        <v>Black</v>
      </c>
      <c r="G7" s="241">
        <f>IFERROR(VLOOKUP(B7,'Customer Data Base'!$B$7:$J$29,6,0),"")</f>
        <v>980</v>
      </c>
      <c r="H7" s="242">
        <f>IFERROR(VLOOKUP(B7,'Customer Data Base'!$B$7:$J$29,8,0),"")</f>
        <v>42736</v>
      </c>
      <c r="I7" s="242">
        <f>IFERROR(VLOOKUP(B7,'Customer Data Base'!$B$7:$J$29,9,0),"")</f>
        <v>0</v>
      </c>
      <c r="J7" s="241" t="str">
        <f>IFERROR(VLOOKUP(B7,'Daily Report'!C5:AN19,37,0),"")</f>
        <v>Continue</v>
      </c>
    </row>
    <row r="8" spans="2:10" x14ac:dyDescent="0.2">
      <c r="B8" s="241">
        <v>2389547</v>
      </c>
      <c r="C8" s="241" t="str">
        <f>IFERROR(VLOOKUP(B8,'Customer Data Base'!$B$7:$J$29,2,0),"")</f>
        <v>Levis</v>
      </c>
      <c r="D8" s="241">
        <f>IFERROR(VLOOKUP(B8,'Customer Data Base'!$B$7:$J$29,3,0),"")</f>
        <v>586952</v>
      </c>
      <c r="E8" s="241" t="str">
        <f>IFERROR(VLOOKUP(B8,'Customer Data Base'!$B$7:$J$29,4,0),"")</f>
        <v>B-56896</v>
      </c>
      <c r="F8" s="241" t="str">
        <f>IFERROR(VLOOKUP(B8,'Customer Data Base'!$B$7:$J$29,5,0),"")</f>
        <v>Blue</v>
      </c>
      <c r="G8" s="241">
        <f>IFERROR(VLOOKUP(B8,'Customer Data Base'!$B$7:$J$29,6,0),"")</f>
        <v>1150</v>
      </c>
      <c r="H8" s="242">
        <f>IFERROR(VLOOKUP(B8,'Customer Data Base'!$B$7:$J$29,8,0),"")</f>
        <v>42736</v>
      </c>
      <c r="I8" s="242">
        <f>IFERROR(VLOOKUP(B8,'Customer Data Base'!$B$7:$J$29,9,0),"")</f>
        <v>0</v>
      </c>
      <c r="J8" s="241" t="str">
        <f>IFERROR(VLOOKUP(B8,'Daily Report'!C6:AN20,37,0),"")</f>
        <v>Continue</v>
      </c>
    </row>
    <row r="9" spans="2:10" x14ac:dyDescent="0.2">
      <c r="B9" s="241">
        <v>235896</v>
      </c>
      <c r="C9" s="241" t="str">
        <f>IFERROR(VLOOKUP(B9,'Customer Data Base'!$B$7:$J$29,2,0),"")</f>
        <v>Lahalle</v>
      </c>
      <c r="D9" s="241">
        <f>IFERROR(VLOOKUP(B9,'Customer Data Base'!$B$7:$J$29,3,0),"")</f>
        <v>5689444</v>
      </c>
      <c r="E9" s="241" t="str">
        <f>IFERROR(VLOOKUP(B9,'Customer Data Base'!$B$7:$J$29,4,0),"")</f>
        <v>D-58962</v>
      </c>
      <c r="F9" s="241" t="str">
        <f>IFERROR(VLOOKUP(B9,'Customer Data Base'!$B$7:$J$29,5,0),"")</f>
        <v>Dark Black</v>
      </c>
      <c r="G9" s="241">
        <f>IFERROR(VLOOKUP(B9,'Customer Data Base'!$B$7:$J$29,6,0),"")</f>
        <v>1740</v>
      </c>
      <c r="H9" s="242">
        <f>IFERROR(VLOOKUP(B9,'Customer Data Base'!$B$7:$J$29,8,0),"")</f>
        <v>42736</v>
      </c>
      <c r="I9" s="242">
        <f>IFERROR(VLOOKUP(B9,'Customer Data Base'!$B$7:$J$29,9,0),"")</f>
        <v>0</v>
      </c>
      <c r="J9" s="241" t="str">
        <f>IFERROR(VLOOKUP(B9,'Daily Report'!C7:AN21,37,0),"")</f>
        <v/>
      </c>
    </row>
    <row r="10" spans="2:10" x14ac:dyDescent="0.2">
      <c r="B10" s="241">
        <v>12345678</v>
      </c>
      <c r="C10" s="241" t="str">
        <f>IFERROR(VLOOKUP(B10,'Customer Data Base'!$B$7:$J$29,2,0),"")</f>
        <v>abc</v>
      </c>
      <c r="D10" s="241">
        <f>IFERROR(VLOOKUP(B10,'Customer Data Base'!$B$7:$J$29,3,0),"")</f>
        <v>265893</v>
      </c>
      <c r="E10" s="241" t="str">
        <f>IFERROR(VLOOKUP(B10,'Customer Data Base'!$B$7:$J$29,4,0),"")</f>
        <v>A-25876</v>
      </c>
      <c r="F10" s="241">
        <f>IFERROR(VLOOKUP(B10,'Customer Data Base'!$B$7:$J$29,5,0),"")</f>
        <v>0</v>
      </c>
      <c r="G10" s="241">
        <f>IFERROR(VLOOKUP(B10,'Customer Data Base'!$B$7:$J$29,6,0),"")</f>
        <v>1200</v>
      </c>
      <c r="H10" s="242">
        <f>IFERROR(VLOOKUP(B10,'Customer Data Base'!$B$7:$J$29,8,0),"")</f>
        <v>0</v>
      </c>
      <c r="I10" s="242">
        <f>IFERROR(VLOOKUP(B10,'Customer Data Base'!$B$7:$J$29,9,0),"")</f>
        <v>0</v>
      </c>
      <c r="J10" s="241" t="str">
        <f>IFERROR(VLOOKUP(B10,'Daily Report'!C8:AN22,37,0),"")</f>
        <v>Continue</v>
      </c>
    </row>
    <row r="11" spans="2:10" x14ac:dyDescent="0.2">
      <c r="B11" s="241"/>
      <c r="C11" s="241" t="str">
        <f>IFERROR(VLOOKUP(B11,'Customer Data Base'!$B$7:$J$29,2,0),"")</f>
        <v/>
      </c>
      <c r="D11" s="241" t="str">
        <f>IFERROR(VLOOKUP(B11,'Customer Data Base'!$B$7:$J$29,3,0),"")</f>
        <v/>
      </c>
      <c r="E11" s="241" t="str">
        <f>IFERROR(VLOOKUP(B11,'Customer Data Base'!$B$7:$J$29,4,0),"")</f>
        <v/>
      </c>
      <c r="F11" s="241" t="str">
        <f>IFERROR(VLOOKUP(B11,'Customer Data Base'!$B$7:$J$29,5,0),"")</f>
        <v/>
      </c>
      <c r="G11" s="241" t="str">
        <f>IFERROR(VLOOKUP(B11,'Customer Data Base'!$B$7:$J$29,6,0),"")</f>
        <v/>
      </c>
      <c r="H11" s="242" t="str">
        <f>IFERROR(VLOOKUP(B11,'Customer Data Base'!$B$7:$J$29,8,0),"")</f>
        <v/>
      </c>
      <c r="I11" s="242" t="str">
        <f>IFERROR(VLOOKUP(B11,'Customer Data Base'!$B$7:$J$29,9,0),"")</f>
        <v/>
      </c>
      <c r="J11" s="241" t="str">
        <f>IFERROR(VLOOKUP(B11,'Daily Report'!C9:AN23,37,0),"")</f>
        <v/>
      </c>
    </row>
    <row r="12" spans="2:10" x14ac:dyDescent="0.2">
      <c r="B12" s="241"/>
      <c r="C12" s="241" t="str">
        <f>IFERROR(VLOOKUP(B12,'Customer Data Base'!$B$7:$J$29,2,0),"")</f>
        <v/>
      </c>
      <c r="D12" s="241" t="str">
        <f>IFERROR(VLOOKUP(B12,'Customer Data Base'!$B$7:$J$29,3,0),"")</f>
        <v/>
      </c>
      <c r="E12" s="241" t="str">
        <f>IFERROR(VLOOKUP(B12,'Customer Data Base'!$B$7:$J$29,4,0),"")</f>
        <v/>
      </c>
      <c r="F12" s="241" t="str">
        <f>IFERROR(VLOOKUP(B12,'Customer Data Base'!$B$7:$J$29,5,0),"")</f>
        <v/>
      </c>
      <c r="G12" s="241" t="str">
        <f>IFERROR(VLOOKUP(B12,'Customer Data Base'!$B$7:$J$29,6,0),"")</f>
        <v/>
      </c>
      <c r="H12" s="242" t="str">
        <f>IFERROR(VLOOKUP(B12,'Customer Data Base'!$B$7:$J$29,8,0),"")</f>
        <v/>
      </c>
      <c r="I12" s="242" t="str">
        <f>IFERROR(VLOOKUP(B12,'Customer Data Base'!$B$7:$J$29,9,0),"")</f>
        <v/>
      </c>
      <c r="J12" s="241" t="str">
        <f>IFERROR(VLOOKUP(B12,'Daily Report'!C10:AN24,37,0),"")</f>
        <v/>
      </c>
    </row>
    <row r="13" spans="2:10" x14ac:dyDescent="0.2">
      <c r="B13" s="241"/>
      <c r="C13" s="241" t="str">
        <f>IFERROR(VLOOKUP(B13,'Customer Data Base'!$B$7:$J$29,2,0),"")</f>
        <v/>
      </c>
      <c r="D13" s="241" t="str">
        <f>IFERROR(VLOOKUP(B13,'Customer Data Base'!$B$7:$J$29,3,0),"")</f>
        <v/>
      </c>
      <c r="E13" s="241" t="str">
        <f>IFERROR(VLOOKUP(B13,'Customer Data Base'!$B$7:$J$29,4,0),"")</f>
        <v/>
      </c>
      <c r="F13" s="241" t="str">
        <f>IFERROR(VLOOKUP(B13,'Customer Data Base'!$B$7:$J$29,5,0),"")</f>
        <v/>
      </c>
      <c r="G13" s="241" t="str">
        <f>IFERROR(VLOOKUP(B13,'Customer Data Base'!$B$7:$J$29,6,0),"")</f>
        <v/>
      </c>
      <c r="H13" s="242" t="str">
        <f>IFERROR(VLOOKUP(B13,'Customer Data Base'!$B$7:$J$29,8,0),"")</f>
        <v/>
      </c>
      <c r="I13" s="242" t="str">
        <f>IFERROR(VLOOKUP(B13,'Customer Data Base'!$B$7:$J$29,9,0),"")</f>
        <v/>
      </c>
      <c r="J13" s="241" t="str">
        <f>IFERROR(VLOOKUP(B13,'Daily Report'!C11:AN25,37,0),"")</f>
        <v/>
      </c>
    </row>
    <row r="14" spans="2:10" x14ac:dyDescent="0.2">
      <c r="B14" s="241"/>
      <c r="C14" s="241" t="str">
        <f>IFERROR(VLOOKUP(B14,'Customer Data Base'!$B$7:$J$29,2,0),"")</f>
        <v/>
      </c>
      <c r="D14" s="241" t="str">
        <f>IFERROR(VLOOKUP(B14,'Customer Data Base'!$B$7:$J$29,3,0),"")</f>
        <v/>
      </c>
      <c r="E14" s="241" t="str">
        <f>IFERROR(VLOOKUP(B14,'Customer Data Base'!$B$7:$J$29,4,0),"")</f>
        <v/>
      </c>
      <c r="F14" s="241" t="str">
        <f>IFERROR(VLOOKUP(B14,'Customer Data Base'!$B$7:$J$29,5,0),"")</f>
        <v/>
      </c>
      <c r="G14" s="241" t="str">
        <f>IFERROR(VLOOKUP(B14,'Customer Data Base'!$B$7:$J$29,6,0),"")</f>
        <v/>
      </c>
      <c r="H14" s="242" t="str">
        <f>IFERROR(VLOOKUP(B14,'Customer Data Base'!$B$7:$J$29,8,0),"")</f>
        <v/>
      </c>
      <c r="I14" s="242" t="str">
        <f>IFERROR(VLOOKUP(B14,'Customer Data Base'!$B$7:$J$29,9,0),"")</f>
        <v/>
      </c>
      <c r="J14" s="241" t="str">
        <f>IFERROR(VLOOKUP(B14,'Daily Report'!C12:AN26,37,0),"")</f>
        <v/>
      </c>
    </row>
    <row r="15" spans="2:10" x14ac:dyDescent="0.2">
      <c r="B15" s="241"/>
      <c r="C15" s="241" t="str">
        <f>IFERROR(VLOOKUP(B15,'Customer Data Base'!$B$7:$J$29,2,0),"")</f>
        <v/>
      </c>
      <c r="D15" s="241" t="str">
        <f>IFERROR(VLOOKUP(B15,'Customer Data Base'!$B$7:$J$29,3,0),"")</f>
        <v/>
      </c>
      <c r="E15" s="241" t="str">
        <f>IFERROR(VLOOKUP(B15,'Customer Data Base'!$B$7:$J$29,4,0),"")</f>
        <v/>
      </c>
      <c r="F15" s="241" t="str">
        <f>IFERROR(VLOOKUP(B15,'Customer Data Base'!$B$7:$J$29,5,0),"")</f>
        <v/>
      </c>
      <c r="G15" s="241" t="str">
        <f>IFERROR(VLOOKUP(B15,'Customer Data Base'!$B$7:$J$29,6,0),"")</f>
        <v/>
      </c>
      <c r="H15" s="242" t="str">
        <f>IFERROR(VLOOKUP(B15,'Customer Data Base'!$B$7:$J$29,8,0),"")</f>
        <v/>
      </c>
      <c r="I15" s="242" t="str">
        <f>IFERROR(VLOOKUP(B15,'Customer Data Base'!$B$7:$J$29,9,0),"")</f>
        <v/>
      </c>
      <c r="J15" s="241" t="str">
        <f>IFERROR(VLOOKUP(B15,'Daily Report'!C13:AN27,37,0),"")</f>
        <v/>
      </c>
    </row>
    <row r="16" spans="2:10" x14ac:dyDescent="0.2">
      <c r="B16" s="241"/>
      <c r="C16" s="241" t="str">
        <f>IFERROR(VLOOKUP(B16,'Customer Data Base'!$B$7:$J$29,2,0),"")</f>
        <v/>
      </c>
      <c r="D16" s="241" t="str">
        <f>IFERROR(VLOOKUP(B16,'Customer Data Base'!$B$7:$J$29,3,0),"")</f>
        <v/>
      </c>
      <c r="E16" s="241" t="str">
        <f>IFERROR(VLOOKUP(B16,'Customer Data Base'!$B$7:$J$29,4,0),"")</f>
        <v/>
      </c>
      <c r="F16" s="241" t="str">
        <f>IFERROR(VLOOKUP(B16,'Customer Data Base'!$B$7:$J$29,5,0),"")</f>
        <v/>
      </c>
      <c r="G16" s="241" t="str">
        <f>IFERROR(VLOOKUP(B16,'Customer Data Base'!$B$7:$J$29,6,0),"")</f>
        <v/>
      </c>
      <c r="H16" s="242" t="str">
        <f>IFERROR(VLOOKUP(B16,'Customer Data Base'!$B$7:$J$29,8,0),"")</f>
        <v/>
      </c>
      <c r="I16" s="242" t="str">
        <f>IFERROR(VLOOKUP(B16,'Customer Data Base'!$B$7:$J$29,9,0),"")</f>
        <v/>
      </c>
      <c r="J16" s="241" t="str">
        <f>IFERROR(VLOOKUP(B16,'Daily Report'!C14:AN28,37,0),"")</f>
        <v/>
      </c>
    </row>
    <row r="17" spans="2:10" x14ac:dyDescent="0.2">
      <c r="B17" s="241"/>
      <c r="C17" s="241" t="str">
        <f>IFERROR(VLOOKUP(B17,'Customer Data Base'!$B$7:$J$29,2,0),"")</f>
        <v/>
      </c>
      <c r="D17" s="241" t="str">
        <f>IFERROR(VLOOKUP(B17,'Customer Data Base'!$B$7:$J$29,3,0),"")</f>
        <v/>
      </c>
      <c r="E17" s="241" t="str">
        <f>IFERROR(VLOOKUP(B17,'Customer Data Base'!$B$7:$J$29,4,0),"")</f>
        <v/>
      </c>
      <c r="F17" s="241" t="str">
        <f>IFERROR(VLOOKUP(B17,'Customer Data Base'!$B$7:$J$29,5,0),"")</f>
        <v/>
      </c>
      <c r="G17" s="241" t="str">
        <f>IFERROR(VLOOKUP(B17,'Customer Data Base'!$B$7:$J$29,6,0),"")</f>
        <v/>
      </c>
      <c r="H17" s="242" t="str">
        <f>IFERROR(VLOOKUP(B17,'Customer Data Base'!$B$7:$J$29,8,0),"")</f>
        <v/>
      </c>
      <c r="I17" s="242" t="str">
        <f>IFERROR(VLOOKUP(B17,'Customer Data Base'!$B$7:$J$29,9,0),"")</f>
        <v/>
      </c>
      <c r="J17" s="241" t="str">
        <f>IFERROR(VLOOKUP(B17,'Daily Report'!C15:AN29,37,0),"")</f>
        <v/>
      </c>
    </row>
    <row r="18" spans="2:10" x14ac:dyDescent="0.2">
      <c r="B18" s="241"/>
      <c r="C18" s="241" t="str">
        <f>IFERROR(VLOOKUP(B18,'Customer Data Base'!$B$7:$J$29,2,0),"")</f>
        <v/>
      </c>
      <c r="D18" s="241" t="str">
        <f>IFERROR(VLOOKUP(B18,'Customer Data Base'!$B$7:$J$29,3,0),"")</f>
        <v/>
      </c>
      <c r="E18" s="241" t="str">
        <f>IFERROR(VLOOKUP(B18,'Customer Data Base'!$B$7:$J$29,4,0),"")</f>
        <v/>
      </c>
      <c r="F18" s="241" t="str">
        <f>IFERROR(VLOOKUP(B18,'Customer Data Base'!$B$7:$J$29,5,0),"")</f>
        <v/>
      </c>
      <c r="G18" s="241" t="str">
        <f>IFERROR(VLOOKUP(B18,'Customer Data Base'!$B$7:$J$29,6,0),"")</f>
        <v/>
      </c>
      <c r="H18" s="242" t="str">
        <f>IFERROR(VLOOKUP(B18,'Customer Data Base'!$B$7:$J$29,8,0),"")</f>
        <v/>
      </c>
      <c r="I18" s="242" t="str">
        <f>IFERROR(VLOOKUP(B18,'Customer Data Base'!$B$7:$J$29,9,0),"")</f>
        <v/>
      </c>
      <c r="J18" s="241" t="str">
        <f>IFERROR(VLOOKUP(B18,'Daily Report'!C16:AN30,37,0),"")</f>
        <v/>
      </c>
    </row>
    <row r="19" spans="2:10" x14ac:dyDescent="0.2">
      <c r="B19" s="241"/>
      <c r="C19" s="241" t="str">
        <f>IFERROR(VLOOKUP(B19,'Customer Data Base'!$B$7:$J$29,2,0),"")</f>
        <v/>
      </c>
      <c r="D19" s="241" t="str">
        <f>IFERROR(VLOOKUP(B19,'Customer Data Base'!$B$7:$J$29,3,0),"")</f>
        <v/>
      </c>
      <c r="E19" s="241" t="str">
        <f>IFERROR(VLOOKUP(B19,'Customer Data Base'!$B$7:$J$29,4,0),"")</f>
        <v/>
      </c>
      <c r="F19" s="241" t="str">
        <f>IFERROR(VLOOKUP(B19,'Customer Data Base'!$B$7:$J$29,5,0),"")</f>
        <v/>
      </c>
      <c r="G19" s="241" t="str">
        <f>IFERROR(VLOOKUP(B19,'Customer Data Base'!$B$7:$J$29,6,0),"")</f>
        <v/>
      </c>
      <c r="H19" s="242" t="str">
        <f>IFERROR(VLOOKUP(B19,'Customer Data Base'!$B$7:$J$29,8,0),"")</f>
        <v/>
      </c>
      <c r="I19" s="242" t="str">
        <f>IFERROR(VLOOKUP(B19,'Customer Data Base'!$B$7:$J$29,9,0),"")</f>
        <v/>
      </c>
      <c r="J19" s="241" t="str">
        <f>IFERROR(VLOOKUP(B19,'Daily Report'!C17:AN31,37,0),"")</f>
        <v/>
      </c>
    </row>
    <row r="20" spans="2:10" x14ac:dyDescent="0.2">
      <c r="B20" s="241"/>
      <c r="C20" s="241" t="str">
        <f>IFERROR(VLOOKUP(B20,'Customer Data Base'!$B$7:$J$29,2,0),"")</f>
        <v/>
      </c>
      <c r="D20" s="241" t="str">
        <f>IFERROR(VLOOKUP(B20,'Customer Data Base'!$B$7:$J$29,3,0),"")</f>
        <v/>
      </c>
      <c r="E20" s="241" t="str">
        <f>IFERROR(VLOOKUP(B20,'Customer Data Base'!$B$7:$J$29,4,0),"")</f>
        <v/>
      </c>
      <c r="F20" s="241" t="str">
        <f>IFERROR(VLOOKUP(B20,'Customer Data Base'!$B$7:$J$29,5,0),"")</f>
        <v/>
      </c>
      <c r="G20" s="241" t="str">
        <f>IFERROR(VLOOKUP(B20,'Customer Data Base'!$B$7:$J$29,6,0),"")</f>
        <v/>
      </c>
      <c r="H20" s="242" t="str">
        <f>IFERROR(VLOOKUP(B20,'Customer Data Base'!$B$7:$J$29,8,0),"")</f>
        <v/>
      </c>
      <c r="I20" s="242" t="str">
        <f>IFERROR(VLOOKUP(B20,'Customer Data Base'!$B$7:$J$29,9,0),"")</f>
        <v/>
      </c>
      <c r="J20" s="241" t="str">
        <f>IFERROR(VLOOKUP(B20,'Daily Report'!C18:AN32,37,0),"")</f>
        <v/>
      </c>
    </row>
    <row r="21" spans="2:10" x14ac:dyDescent="0.2">
      <c r="B21" s="241"/>
      <c r="C21" s="241" t="str">
        <f>IFERROR(VLOOKUP(B21,'Customer Data Base'!$B$7:$J$29,2,0),"")</f>
        <v/>
      </c>
      <c r="D21" s="241" t="str">
        <f>IFERROR(VLOOKUP(B21,'Customer Data Base'!$B$7:$J$29,3,0),"")</f>
        <v/>
      </c>
      <c r="E21" s="241" t="str">
        <f>IFERROR(VLOOKUP(B21,'Customer Data Base'!$B$7:$J$29,4,0),"")</f>
        <v/>
      </c>
      <c r="F21" s="241" t="str">
        <f>IFERROR(VLOOKUP(B21,'Customer Data Base'!$B$7:$J$29,5,0),"")</f>
        <v/>
      </c>
      <c r="G21" s="241" t="str">
        <f>IFERROR(VLOOKUP(B21,'Customer Data Base'!$B$7:$J$29,6,0),"")</f>
        <v/>
      </c>
      <c r="H21" s="242" t="str">
        <f>IFERROR(VLOOKUP(B21,'Customer Data Base'!$B$7:$J$29,8,0),"")</f>
        <v/>
      </c>
      <c r="I21" s="242" t="str">
        <f>IFERROR(VLOOKUP(B21,'Customer Data Base'!$B$7:$J$29,9,0),"")</f>
        <v/>
      </c>
      <c r="J21" s="241" t="str">
        <f>IFERROR(VLOOKUP(B21,'Daily Report'!C19:AN33,37,0),"")</f>
        <v/>
      </c>
    </row>
    <row r="22" spans="2:10" x14ac:dyDescent="0.2">
      <c r="B22" s="241"/>
      <c r="C22" s="241" t="str">
        <f>IFERROR(VLOOKUP(B22,'Customer Data Base'!$B$7:$J$29,2,0),"")</f>
        <v/>
      </c>
      <c r="D22" s="241" t="str">
        <f>IFERROR(VLOOKUP(B22,'Customer Data Base'!$B$7:$J$29,3,0),"")</f>
        <v/>
      </c>
      <c r="E22" s="241" t="str">
        <f>IFERROR(VLOOKUP(B22,'Customer Data Base'!$B$7:$J$29,4,0),"")</f>
        <v/>
      </c>
      <c r="F22" s="241" t="str">
        <f>IFERROR(VLOOKUP(B22,'Customer Data Base'!$B$7:$J$29,5,0),"")</f>
        <v/>
      </c>
      <c r="G22" s="241" t="str">
        <f>IFERROR(VLOOKUP(B22,'Customer Data Base'!$B$7:$J$29,6,0),"")</f>
        <v/>
      </c>
      <c r="H22" s="242" t="str">
        <f>IFERROR(VLOOKUP(B22,'Customer Data Base'!$B$7:$J$29,8,0),"")</f>
        <v/>
      </c>
      <c r="I22" s="242" t="str">
        <f>IFERROR(VLOOKUP(B22,'Customer Data Base'!$B$7:$J$29,9,0),"")</f>
        <v/>
      </c>
      <c r="J22" s="241" t="str">
        <f>IFERROR(VLOOKUP(B22,'Daily Report'!C20:AN34,37,0),"")</f>
        <v/>
      </c>
    </row>
    <row r="23" spans="2:10" x14ac:dyDescent="0.2">
      <c r="B23" s="241"/>
      <c r="C23" s="241" t="str">
        <f>IFERROR(VLOOKUP(B23,'Customer Data Base'!$B$7:$J$29,2,0),"")</f>
        <v/>
      </c>
      <c r="D23" s="241" t="str">
        <f>IFERROR(VLOOKUP(B23,'Customer Data Base'!$B$7:$J$29,3,0),"")</f>
        <v/>
      </c>
      <c r="E23" s="241" t="str">
        <f>IFERROR(VLOOKUP(B23,'Customer Data Base'!$B$7:$J$29,4,0),"")</f>
        <v/>
      </c>
      <c r="F23" s="241" t="str">
        <f>IFERROR(VLOOKUP(B23,'Customer Data Base'!$B$7:$J$29,5,0),"")</f>
        <v/>
      </c>
      <c r="G23" s="241" t="str">
        <f>IFERROR(VLOOKUP(B23,'Customer Data Base'!$B$7:$J$29,6,0),"")</f>
        <v/>
      </c>
      <c r="H23" s="242" t="str">
        <f>IFERROR(VLOOKUP(B23,'Customer Data Base'!$B$7:$J$29,8,0),"")</f>
        <v/>
      </c>
      <c r="I23" s="242" t="str">
        <f>IFERROR(VLOOKUP(B23,'Customer Data Base'!$B$7:$J$29,9,0),"")</f>
        <v/>
      </c>
      <c r="J23" s="241" t="str">
        <f>IFERROR(VLOOKUP(B23,'Daily Report'!C21:AN35,37,0),"")</f>
        <v/>
      </c>
    </row>
    <row r="24" spans="2:10" x14ac:dyDescent="0.2">
      <c r="B24" s="241"/>
      <c r="C24" s="241" t="str">
        <f>IFERROR(VLOOKUP(B24,'Customer Data Base'!$B$7:$J$29,2,0),"")</f>
        <v/>
      </c>
      <c r="D24" s="241" t="str">
        <f>IFERROR(VLOOKUP(B24,'Customer Data Base'!$B$7:$J$29,3,0),"")</f>
        <v/>
      </c>
      <c r="E24" s="241" t="str">
        <f>IFERROR(VLOOKUP(B24,'Customer Data Base'!$B$7:$J$29,4,0),"")</f>
        <v/>
      </c>
      <c r="F24" s="241" t="str">
        <f>IFERROR(VLOOKUP(B24,'Customer Data Base'!$B$7:$J$29,5,0),"")</f>
        <v/>
      </c>
      <c r="G24" s="241" t="str">
        <f>IFERROR(VLOOKUP(B24,'Customer Data Base'!$B$7:$J$29,6,0),"")</f>
        <v/>
      </c>
      <c r="H24" s="242" t="str">
        <f>IFERROR(VLOOKUP(B24,'Customer Data Base'!$B$7:$J$29,8,0),"")</f>
        <v/>
      </c>
      <c r="I24" s="242" t="str">
        <f>IFERROR(VLOOKUP(B24,'Customer Data Base'!$B$7:$J$29,9,0),"")</f>
        <v/>
      </c>
      <c r="J24" s="241" t="str">
        <f>IFERROR(VLOOKUP(B24,'Daily Report'!C22:AN36,37,0),"")</f>
        <v/>
      </c>
    </row>
    <row r="25" spans="2:10" x14ac:dyDescent="0.2">
      <c r="B25" s="241"/>
      <c r="C25" s="241" t="str">
        <f>IFERROR(VLOOKUP(B25,'Customer Data Base'!$B$7:$J$29,2,0),"")</f>
        <v/>
      </c>
      <c r="D25" s="241" t="str">
        <f>IFERROR(VLOOKUP(B25,'Customer Data Base'!$B$7:$J$29,3,0),"")</f>
        <v/>
      </c>
      <c r="E25" s="241" t="str">
        <f>IFERROR(VLOOKUP(B25,'Customer Data Base'!$B$7:$J$29,4,0),"")</f>
        <v/>
      </c>
      <c r="F25" s="241" t="str">
        <f>IFERROR(VLOOKUP(B25,'Customer Data Base'!$B$7:$J$29,5,0),"")</f>
        <v/>
      </c>
      <c r="G25" s="241" t="str">
        <f>IFERROR(VLOOKUP(B25,'Customer Data Base'!$B$7:$J$29,6,0),"")</f>
        <v/>
      </c>
      <c r="H25" s="242" t="str">
        <f>IFERROR(VLOOKUP(B25,'Customer Data Base'!$B$7:$J$29,8,0),"")</f>
        <v/>
      </c>
      <c r="I25" s="242" t="str">
        <f>IFERROR(VLOOKUP(B25,'Customer Data Base'!$B$7:$J$29,9,0),"")</f>
        <v/>
      </c>
      <c r="J25" s="241" t="str">
        <f>IFERROR(VLOOKUP(B25,'Daily Report'!C23:AN37,37,0),"")</f>
        <v/>
      </c>
    </row>
    <row r="26" spans="2:10" x14ac:dyDescent="0.2">
      <c r="B26" s="241"/>
      <c r="C26" s="241" t="str">
        <f>IFERROR(VLOOKUP(B26,'Customer Data Base'!$B$7:$J$29,2,0),"")</f>
        <v/>
      </c>
      <c r="D26" s="241" t="str">
        <f>IFERROR(VLOOKUP(B26,'Customer Data Base'!$B$7:$J$29,3,0),"")</f>
        <v/>
      </c>
      <c r="E26" s="241" t="str">
        <f>IFERROR(VLOOKUP(B26,'Customer Data Base'!$B$7:$J$29,4,0),"")</f>
        <v/>
      </c>
      <c r="F26" s="241" t="str">
        <f>IFERROR(VLOOKUP(B26,'Customer Data Base'!$B$7:$J$29,5,0),"")</f>
        <v/>
      </c>
      <c r="G26" s="241" t="str">
        <f>IFERROR(VLOOKUP(B26,'Customer Data Base'!$B$7:$J$29,6,0),"")</f>
        <v/>
      </c>
      <c r="H26" s="242" t="str">
        <f>IFERROR(VLOOKUP(B26,'Customer Data Base'!$B$7:$J$29,8,0),"")</f>
        <v/>
      </c>
      <c r="I26" s="242" t="str">
        <f>IFERROR(VLOOKUP(B26,'Customer Data Base'!$B$7:$J$29,9,0),"")</f>
        <v/>
      </c>
      <c r="J26" s="241" t="str">
        <f>IFERROR(VLOOKUP(B26,'Daily Report'!C24:AN38,37,0),"")</f>
        <v/>
      </c>
    </row>
    <row r="27" spans="2:10" x14ac:dyDescent="0.2">
      <c r="B27" s="241"/>
      <c r="C27" s="241" t="str">
        <f>IFERROR(VLOOKUP(B27,'Customer Data Base'!$B$7:$J$29,2,0),"")</f>
        <v/>
      </c>
      <c r="D27" s="241" t="str">
        <f>IFERROR(VLOOKUP(B27,'Customer Data Base'!$B$7:$J$29,3,0),"")</f>
        <v/>
      </c>
      <c r="E27" s="241" t="str">
        <f>IFERROR(VLOOKUP(B27,'Customer Data Base'!$B$7:$J$29,4,0),"")</f>
        <v/>
      </c>
      <c r="F27" s="241" t="str">
        <f>IFERROR(VLOOKUP(B27,'Customer Data Base'!$B$7:$J$29,5,0),"")</f>
        <v/>
      </c>
      <c r="G27" s="241" t="str">
        <f>IFERROR(VLOOKUP(B27,'Customer Data Base'!$B$7:$J$29,6,0),"")</f>
        <v/>
      </c>
      <c r="H27" s="242" t="str">
        <f>IFERROR(VLOOKUP(B27,'Customer Data Base'!$B$7:$J$29,8,0),"")</f>
        <v/>
      </c>
      <c r="I27" s="242" t="str">
        <f>IFERROR(VLOOKUP(B27,'Customer Data Base'!$B$7:$J$29,9,0),"")</f>
        <v/>
      </c>
      <c r="J27" s="241" t="str">
        <f>IFERROR(VLOOKUP(B27,'Daily Report'!C25:AN39,37,0),"")</f>
        <v/>
      </c>
    </row>
    <row r="28" spans="2:10" x14ac:dyDescent="0.2">
      <c r="B28" s="241"/>
      <c r="C28" s="241" t="str">
        <f>IFERROR(VLOOKUP(B28,'Customer Data Base'!$B$7:$J$29,2,0),"")</f>
        <v/>
      </c>
      <c r="D28" s="241" t="str">
        <f>IFERROR(VLOOKUP(B28,'Customer Data Base'!$B$7:$J$29,3,0),"")</f>
        <v/>
      </c>
      <c r="E28" s="241" t="str">
        <f>IFERROR(VLOOKUP(B28,'Customer Data Base'!$B$7:$J$29,4,0),"")</f>
        <v/>
      </c>
      <c r="F28" s="241" t="str">
        <f>IFERROR(VLOOKUP(B28,'Customer Data Base'!$B$7:$J$29,5,0),"")</f>
        <v/>
      </c>
      <c r="G28" s="241" t="str">
        <f>IFERROR(VLOOKUP(B28,'Customer Data Base'!$B$7:$J$29,6,0),"")</f>
        <v/>
      </c>
      <c r="H28" s="242" t="str">
        <f>IFERROR(VLOOKUP(B28,'Customer Data Base'!$B$7:$J$29,8,0),"")</f>
        <v/>
      </c>
      <c r="I28" s="242" t="str">
        <f>IFERROR(VLOOKUP(B28,'Customer Data Base'!$B$7:$J$29,9,0),"")</f>
        <v/>
      </c>
      <c r="J28" s="241" t="str">
        <f>IFERROR(VLOOKUP(B28,'Daily Report'!C26:AN40,37,0),"")</f>
        <v/>
      </c>
    </row>
    <row r="29" spans="2:10" x14ac:dyDescent="0.2">
      <c r="B29" s="241"/>
      <c r="C29" s="241" t="str">
        <f>IFERROR(VLOOKUP(B29,'Customer Data Base'!$B$7:$J$29,2,0),"")</f>
        <v/>
      </c>
      <c r="D29" s="241" t="str">
        <f>IFERROR(VLOOKUP(B29,'Customer Data Base'!$B$7:$J$29,3,0),"")</f>
        <v/>
      </c>
      <c r="E29" s="241" t="str">
        <f>IFERROR(VLOOKUP(B29,'Customer Data Base'!$B$7:$J$29,4,0),"")</f>
        <v/>
      </c>
      <c r="F29" s="241" t="str">
        <f>IFERROR(VLOOKUP(B29,'Customer Data Base'!$B$7:$J$29,5,0),"")</f>
        <v/>
      </c>
      <c r="G29" s="241" t="str">
        <f>IFERROR(VLOOKUP(B29,'Customer Data Base'!$B$7:$J$29,6,0),"")</f>
        <v/>
      </c>
      <c r="H29" s="242" t="str">
        <f>IFERROR(VLOOKUP(B29,'Customer Data Base'!$B$7:$J$29,8,0),"")</f>
        <v/>
      </c>
      <c r="I29" s="242" t="str">
        <f>IFERROR(VLOOKUP(B29,'Customer Data Base'!$B$7:$J$29,9,0),"")</f>
        <v/>
      </c>
      <c r="J29" s="241" t="str">
        <f>IFERROR(VLOOKUP(B29,'Daily Report'!C27:AN41,37,0),"")</f>
        <v/>
      </c>
    </row>
    <row r="30" spans="2:10" x14ac:dyDescent="0.2">
      <c r="B30" s="241"/>
      <c r="C30" s="241" t="str">
        <f>IFERROR(VLOOKUP(B30,'Customer Data Base'!$B$7:$J$29,2,0),"")</f>
        <v/>
      </c>
      <c r="D30" s="241" t="str">
        <f>IFERROR(VLOOKUP(B30,'Customer Data Base'!$B$7:$J$29,3,0),"")</f>
        <v/>
      </c>
      <c r="E30" s="241" t="str">
        <f>IFERROR(VLOOKUP(B30,'Customer Data Base'!$B$7:$J$29,4,0),"")</f>
        <v/>
      </c>
      <c r="F30" s="241" t="str">
        <f>IFERROR(VLOOKUP(B30,'Customer Data Base'!$B$7:$J$29,5,0),"")</f>
        <v/>
      </c>
      <c r="G30" s="241" t="str">
        <f>IFERROR(VLOOKUP(B30,'Customer Data Base'!$B$7:$J$29,6,0),"")</f>
        <v/>
      </c>
      <c r="H30" s="242" t="str">
        <f>IFERROR(VLOOKUP(B30,'Customer Data Base'!$B$7:$J$29,8,0),"")</f>
        <v/>
      </c>
      <c r="I30" s="242" t="str">
        <f>IFERROR(VLOOKUP(B30,'Customer Data Base'!$B$7:$J$29,9,0),"")</f>
        <v/>
      </c>
      <c r="J30" s="241" t="str">
        <f>IFERROR(VLOOKUP(B30,'Daily Report'!C28:AN42,37,0),"")</f>
        <v/>
      </c>
    </row>
    <row r="31" spans="2:10" x14ac:dyDescent="0.2">
      <c r="B31" s="241"/>
      <c r="C31" s="241" t="str">
        <f>IFERROR(VLOOKUP(B31,'Customer Data Base'!$B$7:$J$29,2,0),"")</f>
        <v/>
      </c>
      <c r="D31" s="241" t="str">
        <f>IFERROR(VLOOKUP(B31,'Customer Data Base'!$B$7:$J$29,3,0),"")</f>
        <v/>
      </c>
      <c r="E31" s="241" t="str">
        <f>IFERROR(VLOOKUP(B31,'Customer Data Base'!$B$7:$J$29,4,0),"")</f>
        <v/>
      </c>
      <c r="F31" s="241" t="str">
        <f>IFERROR(VLOOKUP(B31,'Customer Data Base'!$B$7:$J$29,5,0),"")</f>
        <v/>
      </c>
      <c r="G31" s="241" t="str">
        <f>IFERROR(VLOOKUP(B31,'Customer Data Base'!$B$7:$J$29,6,0),"")</f>
        <v/>
      </c>
      <c r="H31" s="242" t="str">
        <f>IFERROR(VLOOKUP(B31,'Customer Data Base'!$B$7:$J$29,8,0),"")</f>
        <v/>
      </c>
      <c r="I31" s="242" t="str">
        <f>IFERROR(VLOOKUP(B31,'Customer Data Base'!$B$7:$J$29,9,0),"")</f>
        <v/>
      </c>
      <c r="J31" s="241" t="str">
        <f>IFERROR(VLOOKUP(B31,'Daily Report'!C29:AN43,37,0),"")</f>
        <v/>
      </c>
    </row>
  </sheetData>
  <sheetProtection sheet="1" formatCells="0" formatColumns="0" formatRows="0" insertColumns="0" insertRows="0" insertHyperlinks="0" deleteColumns="0" deleteRows="0" sort="0" autoFilter="0" pivotTables="0"/>
  <mergeCells count="3">
    <mergeCell ref="B1:J2"/>
    <mergeCell ref="B4:B5"/>
    <mergeCell ref="C5:J5"/>
  </mergeCells>
  <dataValidations count="1">
    <dataValidation type="list" allowBlank="1" showInputMessage="1" showErrorMessage="1" sqref="B7:B31">
      <formula1>company_serial</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G5"/>
  <sheetViews>
    <sheetView showGridLines="0" view="pageBreakPreview" zoomScaleSheetLayoutView="100" workbookViewId="0">
      <selection activeCell="G5" sqref="G5"/>
    </sheetView>
  </sheetViews>
  <sheetFormatPr defaultRowHeight="12.75" x14ac:dyDescent="0.2"/>
  <cols>
    <col min="1" max="1" width="13.85546875" customWidth="1"/>
    <col min="2" max="2" width="14.85546875" customWidth="1"/>
    <col min="3" max="7" width="13.28515625" customWidth="1"/>
    <col min="8" max="8" width="20.140625" customWidth="1"/>
    <col min="9" max="12" width="18.5703125" customWidth="1"/>
    <col min="13" max="13" width="18.5703125" bestFit="1" customWidth="1"/>
  </cols>
  <sheetData>
    <row r="3" spans="1:7" x14ac:dyDescent="0.2">
      <c r="A3" s="204" t="s">
        <v>82</v>
      </c>
      <c r="B3" s="215" t="s">
        <v>84</v>
      </c>
      <c r="C3" s="215" t="s">
        <v>68</v>
      </c>
      <c r="D3" s="215" t="s">
        <v>69</v>
      </c>
      <c r="E3" s="215" t="s">
        <v>70</v>
      </c>
      <c r="F3" s="215" t="s">
        <v>71</v>
      </c>
      <c r="G3" s="215" t="s">
        <v>74</v>
      </c>
    </row>
    <row r="4" spans="1:7" x14ac:dyDescent="0.2">
      <c r="A4" s="205" t="s">
        <v>25</v>
      </c>
      <c r="B4" s="206">
        <v>900</v>
      </c>
      <c r="C4" s="206">
        <v>220</v>
      </c>
      <c r="D4" s="206">
        <v>200</v>
      </c>
      <c r="E4" s="206">
        <v>200</v>
      </c>
      <c r="F4" s="206">
        <v>195</v>
      </c>
      <c r="G4" s="206">
        <v>140</v>
      </c>
    </row>
    <row r="5" spans="1:7" x14ac:dyDescent="0.2">
      <c r="A5" s="205" t="s">
        <v>83</v>
      </c>
      <c r="B5" s="206">
        <v>900</v>
      </c>
      <c r="C5" s="206">
        <v>220</v>
      </c>
      <c r="D5" s="206">
        <v>200</v>
      </c>
      <c r="E5" s="206">
        <v>200</v>
      </c>
      <c r="F5" s="206">
        <v>195</v>
      </c>
      <c r="G5" s="206">
        <v>140</v>
      </c>
    </row>
  </sheetData>
  <sheetProtection sheet="1" formatCells="0" formatColumns="0" formatRows="0" insertColumns="0" insertRows="0" insertHyperlinks="0" deleteColumns="0" deleteRows="0" sort="0" autoFilter="0" pivotTables="0"/>
  <pageMargins left="0.7" right="0.7" top="0.75" bottom="0.75" header="0.3" footer="0.3"/>
  <pageSetup paperSize="9" scale="5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Welcome</vt:lpstr>
      <vt:lpstr>Customer Data Base</vt:lpstr>
      <vt:lpstr>Daily Report</vt:lpstr>
      <vt:lpstr>Date wise Pro. Status</vt:lpstr>
      <vt:lpstr>Month wise Pro. Status</vt:lpstr>
      <vt:lpstr>Sheet3</vt:lpstr>
      <vt:lpstr>Project Status</vt:lpstr>
      <vt:lpstr>Dash Board</vt:lpstr>
      <vt:lpstr>company_serial</vt:lpstr>
      <vt:lpstr>customer_artical_number</vt:lpstr>
      <vt:lpstr>customer_name</vt:lpstr>
      <vt:lpstr>customer_order_number</vt:lpstr>
      <vt:lpstr>order_color</vt:lpstr>
      <vt:lpstr>order_qty</vt:lpstr>
      <vt:lpstr>'Daily Report'!Print_Area</vt:lpstr>
      <vt:lpstr>'Dash Board'!Print_Area</vt:lpstr>
      <vt:lpstr>'Date wise Pro. Status'!Print_Area</vt:lpstr>
      <vt:lpstr>'Month wise Pro. Status'!Print_Area</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rana umar</dc:creator>
  <cp:lastModifiedBy>Windows User</cp:lastModifiedBy>
  <cp:lastPrinted>2017-01-18T09:01:01Z</cp:lastPrinted>
  <dcterms:created xsi:type="dcterms:W3CDTF">1996-10-14T23:33:28Z</dcterms:created>
  <dcterms:modified xsi:type="dcterms:W3CDTF">2020-12-08T16:23:09Z</dcterms:modified>
</cp:coreProperties>
</file>